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45" tabRatio="891" activeTab="0"/>
  </bookViews>
  <sheets>
    <sheet name="Typ Cu massive" sheetId="1" r:id="rId1"/>
    <sheet name="RWC Cu massive" sheetId="2" r:id="rId2"/>
    <sheet name="Typ casting&amp;fabrication" sheetId="3" r:id="rId3"/>
    <sheet name="RWC casting&amp;fabrication" sheetId="4" r:id="rId4"/>
    <sheet name="Typ powder" sheetId="5" r:id="rId5"/>
    <sheet name="RWC powder" sheetId="6" r:id="rId6"/>
    <sheet name="Typ compounds" sheetId="7" r:id="rId7"/>
    <sheet name="RWC compounds" sheetId="8" r:id="rId8"/>
    <sheet name="man via env" sheetId="9" r:id="rId9"/>
    <sheet name="consumer" sheetId="10" r:id="rId10"/>
    <sheet name="Gen Pop (Env+cons)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Ilse</author>
  </authors>
  <commentList>
    <comment ref="B9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comments2.xml><?xml version="1.0" encoding="utf-8"?>
<comments xmlns="http://schemas.openxmlformats.org/spreadsheetml/2006/main">
  <authors>
    <author>Ilse</author>
  </authors>
  <commentList>
    <comment ref="B10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comments3.xml><?xml version="1.0" encoding="utf-8"?>
<comments xmlns="http://schemas.openxmlformats.org/spreadsheetml/2006/main">
  <authors>
    <author>Ilse</author>
  </authors>
  <commentList>
    <comment ref="B9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comments4.xml><?xml version="1.0" encoding="utf-8"?>
<comments xmlns="http://schemas.openxmlformats.org/spreadsheetml/2006/main">
  <authors>
    <author>Ilse</author>
  </authors>
  <commentList>
    <comment ref="B9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comments5.xml><?xml version="1.0" encoding="utf-8"?>
<comments xmlns="http://schemas.openxmlformats.org/spreadsheetml/2006/main">
  <authors>
    <author>Ilse</author>
  </authors>
  <commentList>
    <comment ref="B9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comments6.xml><?xml version="1.0" encoding="utf-8"?>
<comments xmlns="http://schemas.openxmlformats.org/spreadsheetml/2006/main">
  <authors>
    <author>Ilse</author>
  </authors>
  <commentList>
    <comment ref="B9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comments7.xml><?xml version="1.0" encoding="utf-8"?>
<comments xmlns="http://schemas.openxmlformats.org/spreadsheetml/2006/main">
  <authors>
    <author>Ilse</author>
  </authors>
  <commentList>
    <comment ref="B9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comments8.xml><?xml version="1.0" encoding="utf-8"?>
<comments xmlns="http://schemas.openxmlformats.org/spreadsheetml/2006/main">
  <authors>
    <author>Ilse</author>
  </authors>
  <commentList>
    <comment ref="B9" authorId="0">
      <text>
        <r>
          <rPr>
            <sz val="8"/>
            <rFont val="Tahoma"/>
            <family val="0"/>
          </rPr>
          <t>10 m³/shift</t>
        </r>
      </text>
    </comment>
  </commentList>
</comments>
</file>

<file path=xl/sharedStrings.xml><?xml version="1.0" encoding="utf-8"?>
<sst xmlns="http://schemas.openxmlformats.org/spreadsheetml/2006/main" count="855" uniqueCount="102">
  <si>
    <t>TYPICAL</t>
  </si>
  <si>
    <t>inhalation</t>
  </si>
  <si>
    <t>dermal</t>
  </si>
  <si>
    <t>oral</t>
  </si>
  <si>
    <t>Occupational - inhalation</t>
  </si>
  <si>
    <t>concentration inhaled</t>
  </si>
  <si>
    <t>mg/m³</t>
  </si>
  <si>
    <t>typical amount inhaled/day</t>
  </si>
  <si>
    <t>mg/day</t>
  </si>
  <si>
    <t>mg</t>
  </si>
  <si>
    <t>mass deposited in head (MPPD)</t>
  </si>
  <si>
    <t>mass deposited Tracheobronchial (MPPD)</t>
  </si>
  <si>
    <t>mass to GIT (head + TB)</t>
  </si>
  <si>
    <t>mass to deep lungs</t>
  </si>
  <si>
    <t>Occupational - dermal</t>
  </si>
  <si>
    <t>typical dermal loading</t>
  </si>
  <si>
    <t>Indirect expo(food, drinking water, air)</t>
  </si>
  <si>
    <t>typical intake/day</t>
  </si>
  <si>
    <t>Amount to deep lungs</t>
  </si>
  <si>
    <t>Amount to GIT</t>
  </si>
  <si>
    <t>Amount on skin</t>
  </si>
  <si>
    <t>oral absorption (%)</t>
  </si>
  <si>
    <t>Amount absorbed from inhaled amount</t>
  </si>
  <si>
    <t>oral absorption occup (%)</t>
  </si>
  <si>
    <t>mass absorbed in gut</t>
  </si>
  <si>
    <t>Mass absorbed from inhaled</t>
  </si>
  <si>
    <t>dermal loading</t>
  </si>
  <si>
    <t>dermal amount absorbed</t>
  </si>
  <si>
    <t>Annual avg total absorbed amount from occupational exposure</t>
  </si>
  <si>
    <t>daily intake (food + drinking water)</t>
  </si>
  <si>
    <t>consumer exposure - cigarettes</t>
  </si>
  <si>
    <t>consumer exposure - handling of coins</t>
  </si>
  <si>
    <t>Total absorbed amount (occupationale+consumer+indirect exposure)</t>
  </si>
  <si>
    <t>RWC</t>
  </si>
  <si>
    <t>mass deposited Pulmonary (MPPD°</t>
  </si>
  <si>
    <t>ET amount/day (55%)</t>
  </si>
  <si>
    <t>TB amount/day (33%)</t>
  </si>
  <si>
    <t>R amount/day (12%)</t>
  </si>
  <si>
    <t>mass absorbed in lungs (100%)</t>
  </si>
  <si>
    <t>mg/kg/day</t>
  </si>
  <si>
    <t>MOS workplace</t>
  </si>
  <si>
    <t>daily intake (inhalation)</t>
  </si>
  <si>
    <t>ECI-91</t>
  </si>
  <si>
    <t>ECI-93</t>
  </si>
  <si>
    <t>ECI-110</t>
  </si>
  <si>
    <t>ECI-112</t>
  </si>
  <si>
    <t>pooled</t>
  </si>
  <si>
    <r>
      <t>9.9x10</t>
    </r>
    <r>
      <rPr>
        <vertAlign val="superscript"/>
        <sz val="9.5"/>
        <rFont val="Arial Narrow"/>
        <family val="2"/>
      </rPr>
      <t>-4</t>
    </r>
  </si>
  <si>
    <t>CuIO</t>
  </si>
  <si>
    <t>CuIIO</t>
  </si>
  <si>
    <t>CUSO4</t>
  </si>
  <si>
    <t>mg/day corrected</t>
  </si>
  <si>
    <t>mg/kgBW/day corrected</t>
  </si>
  <si>
    <t>Occupational</t>
  </si>
  <si>
    <t>Occupational - inhalation+dermal</t>
  </si>
  <si>
    <t>Consumer exposure + Indirect exposure of man through the environment</t>
  </si>
  <si>
    <t xml:space="preserve">Occupational </t>
  </si>
  <si>
    <t>Typical</t>
  </si>
  <si>
    <t>Inhalation</t>
  </si>
  <si>
    <t>Dermal</t>
  </si>
  <si>
    <t>Oral</t>
  </si>
  <si>
    <t>Total</t>
  </si>
  <si>
    <t>MOS</t>
  </si>
  <si>
    <t>External</t>
  </si>
  <si>
    <t>Internal</t>
  </si>
  <si>
    <t>mg/p/day</t>
  </si>
  <si>
    <t>mg/kg/d</t>
  </si>
  <si>
    <t>Consumer exposure</t>
  </si>
  <si>
    <t>Man exposed via the environment –regional</t>
  </si>
  <si>
    <t>Man exposed via the environment –local</t>
  </si>
  <si>
    <t>oral absorption factor</t>
  </si>
  <si>
    <t>mg/p/d</t>
  </si>
  <si>
    <t>mg/kgBW/d</t>
  </si>
  <si>
    <t>Face cream</t>
  </si>
  <si>
    <t>Haircare products</t>
  </si>
  <si>
    <t>Paint</t>
  </si>
  <si>
    <t>oral abs factor</t>
  </si>
  <si>
    <t>Cigarette smoking</t>
  </si>
  <si>
    <t>Handling of coins</t>
  </si>
  <si>
    <t>Copper jewellery</t>
  </si>
  <si>
    <t>Food supplements</t>
  </si>
  <si>
    <t>total dermal</t>
  </si>
  <si>
    <t>total inhalation</t>
  </si>
  <si>
    <t>total oral</t>
  </si>
  <si>
    <t>total internal</t>
  </si>
  <si>
    <t>NOAEL</t>
  </si>
  <si>
    <t>Env+Cons oral absorbed</t>
  </si>
  <si>
    <t>Env+Cons inhalation absorbed (100%)</t>
  </si>
  <si>
    <t>Env+Cons dermal absorbed (0.3%)</t>
  </si>
  <si>
    <t>Env+Cons Total abs</t>
  </si>
  <si>
    <t>Occup oral abs</t>
  </si>
  <si>
    <t>Occup dermal abs</t>
  </si>
  <si>
    <t>Occup inhal abs</t>
  </si>
  <si>
    <t>Occup Total abs</t>
  </si>
  <si>
    <t>Total-regional</t>
  </si>
  <si>
    <t>Total-local</t>
  </si>
  <si>
    <t>ET amount/day (48%)</t>
  </si>
  <si>
    <t>TB amount/day (36%)</t>
  </si>
  <si>
    <t>R amount/day (16%)</t>
  </si>
  <si>
    <t>Cu-COMPOUNDS - exposure at the workplace and through food, drinking water, consumer products</t>
  </si>
  <si>
    <t>Cu-POWDERS - exposure at the workplace and through food, drinking water, consumer products</t>
  </si>
  <si>
    <t>SMELTERS-REFINERS - exposure at the workplace and through food, drinking water, consumer products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</si>
</sst>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E+00"/>
    <numFmt numFmtId="184" formatCode="0.000E+00"/>
    <numFmt numFmtId="185" formatCode="0.0E+00"/>
    <numFmt numFmtId="186" formatCode="0.00000E+00"/>
    <numFmt numFmtId="187" formatCode="0.000000E+00"/>
    <numFmt numFmtId="188" formatCode="0.0000000E+00"/>
    <numFmt numFmtId="189" formatCode="0.00000000E+00"/>
    <numFmt numFmtId="190" formatCode="0.000000000E+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sz val="9.5"/>
      <name val="Arial Narrow"/>
      <family val="2"/>
    </font>
    <font>
      <vertAlign val="superscript"/>
      <sz val="9.5"/>
      <name val="Arial Narrow"/>
      <family val="2"/>
    </font>
    <font>
      <i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i/>
      <sz val="10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2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2" fontId="0" fillId="22" borderId="0" xfId="0" applyNumberFormat="1" applyFill="1" applyAlignment="1">
      <alignment horizontal="center"/>
    </xf>
    <xf numFmtId="173" fontId="0" fillId="8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0" fillId="7" borderId="0" xfId="0" applyFill="1" applyAlignment="1">
      <alignment horizontal="center"/>
    </xf>
    <xf numFmtId="173" fontId="0" fillId="22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1" fillId="8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0" fillId="22" borderId="0" xfId="0" applyNumberFormat="1" applyFill="1" applyAlignment="1">
      <alignment/>
    </xf>
    <xf numFmtId="177" fontId="0" fillId="7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14" xfId="0" applyNumberFormat="1" applyFont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8" fillId="24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2" fontId="8" fillId="22" borderId="0" xfId="0" applyNumberFormat="1" applyFont="1" applyFill="1" applyAlignment="1">
      <alignment horizontal="center"/>
    </xf>
    <xf numFmtId="173" fontId="8" fillId="8" borderId="0" xfId="0" applyNumberFormat="1" applyFont="1" applyFill="1" applyAlignment="1">
      <alignment horizontal="center"/>
    </xf>
    <xf numFmtId="173" fontId="8" fillId="22" borderId="0" xfId="0" applyNumberFormat="1" applyFont="1" applyFill="1" applyAlignment="1">
      <alignment horizontal="center"/>
    </xf>
    <xf numFmtId="2" fontId="8" fillId="8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2" fontId="9" fillId="8" borderId="0" xfId="0" applyNumberFormat="1" applyFont="1" applyFill="1" applyAlignment="1">
      <alignment/>
    </xf>
    <xf numFmtId="0" fontId="8" fillId="0" borderId="0" xfId="0" applyFont="1" applyAlignment="1">
      <alignment horizontal="center" wrapText="1"/>
    </xf>
    <xf numFmtId="0" fontId="8" fillId="8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7" fontId="10" fillId="7" borderId="0" xfId="0" applyNumberFormat="1" applyFont="1" applyFill="1" applyAlignment="1">
      <alignment/>
    </xf>
    <xf numFmtId="177" fontId="10" fillId="0" borderId="0" xfId="0" applyNumberFormat="1" applyFont="1" applyAlignment="1">
      <alignment horizontal="center"/>
    </xf>
    <xf numFmtId="177" fontId="10" fillId="7" borderId="0" xfId="0" applyNumberFormat="1" applyFont="1" applyFill="1" applyAlignment="1">
      <alignment horizontal="center"/>
    </xf>
    <xf numFmtId="177" fontId="11" fillId="0" borderId="0" xfId="0" applyNumberFormat="1" applyFont="1" applyAlignment="1">
      <alignment horizontal="center"/>
    </xf>
    <xf numFmtId="177" fontId="11" fillId="7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173" fontId="3" fillId="0" borderId="0" xfId="0" applyNumberFormat="1" applyFont="1" applyAlignment="1">
      <alignment/>
    </xf>
    <xf numFmtId="0" fontId="12" fillId="5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22" borderId="0" xfId="0" applyFill="1" applyAlignment="1">
      <alignment horizontal="center"/>
    </xf>
    <xf numFmtId="177" fontId="1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77" fontId="10" fillId="0" borderId="0" xfId="0" applyNumberFormat="1" applyFont="1" applyFill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73" fontId="14" fillId="0" borderId="11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1" fontId="13" fillId="24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 wrapText="1"/>
    </xf>
    <xf numFmtId="2" fontId="1" fillId="22" borderId="0" xfId="0" applyNumberFormat="1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7" borderId="14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top" wrapText="1"/>
    </xf>
    <xf numFmtId="0" fontId="0" fillId="7" borderId="10" xfId="0" applyFont="1" applyFill="1" applyBorder="1" applyAlignment="1">
      <alignment horizontal="center" vertical="top" wrapText="1"/>
    </xf>
    <xf numFmtId="0" fontId="0" fillId="7" borderId="1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 vertical="top" wrapText="1"/>
    </xf>
    <xf numFmtId="0" fontId="0" fillId="8" borderId="0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0" fontId="0" fillId="22" borderId="11" xfId="0" applyFont="1" applyFill="1" applyBorder="1" applyAlignment="1">
      <alignment horizontal="center" vertical="top" wrapText="1"/>
    </xf>
    <xf numFmtId="0" fontId="0" fillId="22" borderId="0" xfId="0" applyFont="1" applyFill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177" fontId="0" fillId="22" borderId="11" xfId="0" applyNumberFormat="1" applyFont="1" applyFill="1" applyBorder="1" applyAlignment="1">
      <alignment horizontal="center" vertical="top" wrapText="1"/>
    </xf>
    <xf numFmtId="2" fontId="1" fillId="22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7" fontId="0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/>
    </xf>
    <xf numFmtId="177" fontId="0" fillId="7" borderId="0" xfId="0" applyNumberFormat="1" applyFont="1" applyFill="1" applyBorder="1" applyAlignment="1">
      <alignment horizontal="center" vertical="top" wrapText="1"/>
    </xf>
    <xf numFmtId="174" fontId="0" fillId="8" borderId="0" xfId="0" applyNumberFormat="1" applyFont="1" applyFill="1" applyBorder="1" applyAlignment="1">
      <alignment horizontal="center" vertical="top" wrapText="1"/>
    </xf>
    <xf numFmtId="177" fontId="0" fillId="22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1" fontId="3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/>
    </xf>
    <xf numFmtId="1" fontId="0" fillId="24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8" borderId="0" xfId="0" applyFont="1" applyFill="1" applyBorder="1" applyAlignment="1">
      <alignment vertical="top"/>
    </xf>
    <xf numFmtId="0" fontId="1" fillId="22" borderId="0" xfId="0" applyFont="1" applyFill="1" applyBorder="1" applyAlignment="1">
      <alignment vertical="top" wrapText="1"/>
    </xf>
    <xf numFmtId="0" fontId="1" fillId="22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0" fillId="22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0" fontId="1" fillId="8" borderId="11" xfId="0" applyFont="1" applyFill="1" applyBorder="1" applyAlignment="1">
      <alignment vertical="top"/>
    </xf>
    <xf numFmtId="0" fontId="0" fillId="8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vertical="top"/>
    </xf>
    <xf numFmtId="0" fontId="1" fillId="7" borderId="11" xfId="0" applyFont="1" applyFill="1" applyBorder="1" applyAlignment="1">
      <alignment vertical="top"/>
    </xf>
    <xf numFmtId="0" fontId="1" fillId="22" borderId="10" xfId="0" applyFont="1" applyFill="1" applyBorder="1" applyAlignment="1">
      <alignment vertical="top" wrapText="1"/>
    </xf>
    <xf numFmtId="0" fontId="1" fillId="22" borderId="11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wrapText="1"/>
    </xf>
    <xf numFmtId="0" fontId="0" fillId="22" borderId="11" xfId="0" applyFont="1" applyFill="1" applyBorder="1" applyAlignment="1">
      <alignment/>
    </xf>
    <xf numFmtId="173" fontId="0" fillId="22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8" borderId="12" xfId="0" applyFont="1" applyFill="1" applyBorder="1" applyAlignment="1">
      <alignment vertical="top"/>
    </xf>
    <xf numFmtId="0" fontId="1" fillId="8" borderId="15" xfId="0" applyFont="1" applyFill="1" applyBorder="1" applyAlignment="1">
      <alignment vertical="top"/>
    </xf>
    <xf numFmtId="0" fontId="1" fillId="7" borderId="12" xfId="0" applyFont="1" applyFill="1" applyBorder="1" applyAlignment="1">
      <alignment vertical="top"/>
    </xf>
    <xf numFmtId="0" fontId="1" fillId="7" borderId="15" xfId="0" applyFont="1" applyFill="1" applyBorder="1" applyAlignment="1">
      <alignment vertical="top"/>
    </xf>
    <xf numFmtId="0" fontId="1" fillId="22" borderId="12" xfId="0" applyFont="1" applyFill="1" applyBorder="1" applyAlignment="1">
      <alignment vertical="top"/>
    </xf>
    <xf numFmtId="0" fontId="1" fillId="22" borderId="15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1" fillId="8" borderId="13" xfId="0" applyFont="1" applyFill="1" applyBorder="1" applyAlignment="1">
      <alignment vertical="top"/>
    </xf>
    <xf numFmtId="0" fontId="1" fillId="22" borderId="13" xfId="0" applyFont="1" applyFill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top"/>
    </xf>
    <xf numFmtId="173" fontId="5" fillId="0" borderId="16" xfId="0" applyNumberFormat="1" applyFont="1" applyBorder="1" applyAlignment="1">
      <alignment/>
    </xf>
    <xf numFmtId="173" fontId="5" fillId="0" borderId="16" xfId="0" applyNumberFormat="1" applyFont="1" applyBorder="1" applyAlignment="1">
      <alignment horizontal="center"/>
    </xf>
    <xf numFmtId="177" fontId="0" fillId="7" borderId="0" xfId="0" applyNumberFormat="1" applyFont="1" applyFill="1" applyAlignment="1">
      <alignment/>
    </xf>
    <xf numFmtId="177" fontId="3" fillId="0" borderId="0" xfId="0" applyNumberFormat="1" applyFont="1" applyAlignment="1">
      <alignment/>
    </xf>
    <xf numFmtId="2" fontId="0" fillId="7" borderId="0" xfId="0" applyNumberFormat="1" applyFill="1" applyAlignment="1">
      <alignment horizontal="center"/>
    </xf>
    <xf numFmtId="2" fontId="8" fillId="7" borderId="0" xfId="0" applyNumberFormat="1" applyFont="1" applyFill="1" applyAlignment="1">
      <alignment horizontal="center"/>
    </xf>
    <xf numFmtId="1" fontId="12" fillId="24" borderId="15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177" fontId="10" fillId="0" borderId="19" xfId="0" applyNumberFormat="1" applyFont="1" applyFill="1" applyBorder="1" applyAlignment="1">
      <alignment/>
    </xf>
    <xf numFmtId="177" fontId="10" fillId="0" borderId="14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8" xfId="0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2" fontId="12" fillId="22" borderId="0" xfId="0" applyNumberFormat="1" applyFont="1" applyFill="1" applyAlignment="1">
      <alignment/>
    </xf>
    <xf numFmtId="0" fontId="12" fillId="8" borderId="0" xfId="0" applyFont="1" applyFill="1" applyAlignment="1">
      <alignment/>
    </xf>
    <xf numFmtId="177" fontId="12" fillId="7" borderId="0" xfId="0" applyNumberFormat="1" applyFont="1" applyFill="1" applyAlignment="1">
      <alignment/>
    </xf>
    <xf numFmtId="173" fontId="14" fillId="0" borderId="0" xfId="0" applyNumberFormat="1" applyFont="1" applyAlignment="1">
      <alignment/>
    </xf>
    <xf numFmtId="0" fontId="12" fillId="5" borderId="0" xfId="0" applyFont="1" applyFill="1" applyAlignment="1">
      <alignment/>
    </xf>
    <xf numFmtId="173" fontId="3" fillId="0" borderId="0" xfId="0" applyNumberFormat="1" applyFont="1" applyFill="1" applyBorder="1" applyAlignment="1">
      <alignment horizontal="center"/>
    </xf>
    <xf numFmtId="0" fontId="12" fillId="22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9" fillId="20" borderId="0" xfId="0" applyFont="1" applyFill="1" applyAlignment="1">
      <alignment/>
    </xf>
    <xf numFmtId="0" fontId="19" fillId="0" borderId="0" xfId="0" applyFont="1" applyAlignment="1">
      <alignment/>
    </xf>
    <xf numFmtId="0" fontId="19" fillId="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5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20" borderId="0" xfId="0" applyFont="1" applyFill="1" applyAlignment="1">
      <alignment/>
    </xf>
    <xf numFmtId="0" fontId="19" fillId="0" borderId="0" xfId="0" applyFont="1" applyAlignment="1">
      <alignment/>
    </xf>
    <xf numFmtId="0" fontId="19" fillId="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5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5" borderId="0" xfId="0" applyFont="1" applyFill="1" applyAlignment="1">
      <alignment/>
    </xf>
    <xf numFmtId="0" fontId="1" fillId="8" borderId="18" xfId="0" applyFont="1" applyFill="1" applyBorder="1" applyAlignment="1">
      <alignment horizontal="center"/>
    </xf>
    <xf numFmtId="185" fontId="1" fillId="8" borderId="14" xfId="0" applyNumberFormat="1" applyFont="1" applyFill="1" applyBorder="1" applyAlignment="1">
      <alignment horizontal="center"/>
    </xf>
    <xf numFmtId="185" fontId="1" fillId="7" borderId="14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/>
    </xf>
    <xf numFmtId="185" fontId="1" fillId="8" borderId="19" xfId="0" applyNumberFormat="1" applyFont="1" applyFill="1" applyBorder="1" applyAlignment="1">
      <alignment horizontal="center"/>
    </xf>
    <xf numFmtId="173" fontId="5" fillId="0" borderId="20" xfId="0" applyNumberFormat="1" applyFon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185" fontId="1" fillId="8" borderId="15" xfId="0" applyNumberFormat="1" applyFont="1" applyFill="1" applyBorder="1" applyAlignment="1">
      <alignment horizontal="center"/>
    </xf>
    <xf numFmtId="185" fontId="1" fillId="7" borderId="15" xfId="0" applyNumberFormat="1" applyFon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1" fillId="8" borderId="13" xfId="0" applyNumberFormat="1" applyFont="1" applyFill="1" applyBorder="1" applyAlignment="1">
      <alignment horizontal="center"/>
    </xf>
    <xf numFmtId="173" fontId="5" fillId="0" borderId="17" xfId="0" applyNumberFormat="1" applyFont="1" applyBorder="1" applyAlignment="1">
      <alignment horizontal="center"/>
    </xf>
    <xf numFmtId="173" fontId="1" fillId="7" borderId="18" xfId="0" applyNumberFormat="1" applyFont="1" applyFill="1" applyBorder="1" applyAlignment="1">
      <alignment horizontal="center"/>
    </xf>
    <xf numFmtId="173" fontId="1" fillId="22" borderId="14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173" fontId="1" fillId="8" borderId="19" xfId="0" applyNumberFormat="1" applyFont="1" applyFill="1" applyBorder="1" applyAlignment="1">
      <alignment horizontal="center"/>
    </xf>
    <xf numFmtId="173" fontId="1" fillId="7" borderId="12" xfId="0" applyNumberFormat="1" applyFont="1" applyFill="1" applyBorder="1" applyAlignment="1">
      <alignment horizontal="center"/>
    </xf>
    <xf numFmtId="173" fontId="1" fillId="22" borderId="1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173" fontId="1" fillId="8" borderId="13" xfId="0" applyNumberFormat="1" applyFont="1" applyFill="1" applyBorder="1" applyAlignment="1">
      <alignment horizontal="center"/>
    </xf>
    <xf numFmtId="173" fontId="1" fillId="22" borderId="14" xfId="0" applyNumberFormat="1" applyFont="1" applyFill="1" applyBorder="1" applyAlignment="1">
      <alignment/>
    </xf>
    <xf numFmtId="173" fontId="1" fillId="22" borderId="15" xfId="0" applyNumberFormat="1" applyFont="1" applyFill="1" applyBorder="1" applyAlignment="1">
      <alignment/>
    </xf>
    <xf numFmtId="173" fontId="1" fillId="0" borderId="20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2" fontId="1" fillId="22" borderId="18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172" fontId="1" fillId="22" borderId="18" xfId="0" applyNumberFormat="1" applyFont="1" applyFill="1" applyBorder="1" applyAlignment="1">
      <alignment horizontal="center"/>
    </xf>
    <xf numFmtId="172" fontId="1" fillId="22" borderId="12" xfId="0" applyNumberFormat="1" applyFont="1" applyFill="1" applyBorder="1" applyAlignment="1">
      <alignment horizontal="center"/>
    </xf>
    <xf numFmtId="177" fontId="1" fillId="8" borderId="14" xfId="0" applyNumberFormat="1" applyFont="1" applyFill="1" applyBorder="1" applyAlignment="1">
      <alignment horizontal="center"/>
    </xf>
    <xf numFmtId="177" fontId="1" fillId="8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2" fontId="0" fillId="22" borderId="0" xfId="0" applyNumberFormat="1" applyFont="1" applyFill="1" applyAlignment="1">
      <alignment horizontal="center"/>
    </xf>
    <xf numFmtId="173" fontId="0" fillId="8" borderId="0" xfId="0" applyNumberFormat="1" applyFont="1" applyFill="1" applyAlignment="1">
      <alignment horizontal="center"/>
    </xf>
    <xf numFmtId="173" fontId="0" fillId="22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2" fontId="0" fillId="8" borderId="0" xfId="0" applyNumberFormat="1" applyFont="1" applyFill="1" applyAlignment="1">
      <alignment/>
    </xf>
    <xf numFmtId="2" fontId="0" fillId="7" borderId="0" xfId="0" applyNumberFormat="1" applyFont="1" applyFill="1" applyAlignment="1">
      <alignment horizontal="center"/>
    </xf>
    <xf numFmtId="173" fontId="0" fillId="7" borderId="0" xfId="0" applyNumberFormat="1" applyFont="1" applyFill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19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7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2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1" fontId="0" fillId="24" borderId="15" xfId="0" applyNumberFormat="1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177" fontId="0" fillId="7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2" fontId="12" fillId="22" borderId="0" xfId="0" applyNumberFormat="1" applyFont="1" applyFill="1" applyAlignment="1">
      <alignment horizontal="center"/>
    </xf>
    <xf numFmtId="173" fontId="12" fillId="8" borderId="0" xfId="0" applyNumberFormat="1" applyFont="1" applyFill="1" applyAlignment="1">
      <alignment horizontal="center"/>
    </xf>
    <xf numFmtId="173" fontId="12" fillId="22" borderId="0" xfId="0" applyNumberFormat="1" applyFont="1" applyFill="1" applyAlignment="1">
      <alignment horizontal="center"/>
    </xf>
    <xf numFmtId="2" fontId="12" fillId="8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2" fontId="12" fillId="0" borderId="0" xfId="0" applyNumberFormat="1" applyFont="1" applyAlignment="1">
      <alignment/>
    </xf>
    <xf numFmtId="2" fontId="12" fillId="8" borderId="0" xfId="0" applyNumberFormat="1" applyFont="1" applyFill="1" applyAlignment="1">
      <alignment/>
    </xf>
    <xf numFmtId="0" fontId="12" fillId="0" borderId="0" xfId="0" applyFont="1" applyAlignment="1">
      <alignment horizontal="center" wrapText="1"/>
    </xf>
    <xf numFmtId="173" fontId="12" fillId="7" borderId="0" xfId="0" applyNumberFormat="1" applyFont="1" applyFill="1" applyAlignment="1">
      <alignment horizontal="center"/>
    </xf>
    <xf numFmtId="177" fontId="12" fillId="7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173" fontId="12" fillId="0" borderId="11" xfId="0" applyNumberFormat="1" applyFont="1" applyFill="1" applyBorder="1" applyAlignment="1">
      <alignment horizontal="center"/>
    </xf>
    <xf numFmtId="1" fontId="12" fillId="24" borderId="13" xfId="0" applyNumberFormat="1" applyFont="1" applyFill="1" applyBorder="1" applyAlignment="1">
      <alignment horizontal="center"/>
    </xf>
    <xf numFmtId="0" fontId="12" fillId="7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173" fontId="12" fillId="0" borderId="0" xfId="0" applyNumberFormat="1" applyFont="1" applyAlignment="1">
      <alignment/>
    </xf>
    <xf numFmtId="0" fontId="12" fillId="20" borderId="0" xfId="0" applyFont="1" applyFill="1" applyAlignment="1">
      <alignment/>
    </xf>
    <xf numFmtId="2" fontId="22" fillId="8" borderId="0" xfId="0" applyNumberFormat="1" applyFont="1" applyFill="1" applyAlignment="1">
      <alignment/>
    </xf>
    <xf numFmtId="177" fontId="11" fillId="7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7" fontId="22" fillId="0" borderId="19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/>
    </xf>
    <xf numFmtId="177" fontId="1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173" fontId="5" fillId="0" borderId="14" xfId="0" applyNumberFormat="1" applyFont="1" applyBorder="1" applyAlignment="1">
      <alignment horizontal="center"/>
    </xf>
    <xf numFmtId="173" fontId="13" fillId="0" borderId="14" xfId="0" applyNumberFormat="1" applyFont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73" fontId="0" fillId="22" borderId="0" xfId="0" applyNumberFormat="1" applyFont="1" applyFill="1" applyAlignment="1">
      <alignment/>
    </xf>
    <xf numFmtId="173" fontId="0" fillId="7" borderId="0" xfId="0" applyNumberFormat="1" applyFont="1" applyFill="1" applyAlignment="1">
      <alignment/>
    </xf>
    <xf numFmtId="173" fontId="0" fillId="8" borderId="0" xfId="0" applyNumberFormat="1" applyFont="1" applyFill="1" applyAlignment="1">
      <alignment/>
    </xf>
    <xf numFmtId="173" fontId="12" fillId="22" borderId="0" xfId="0" applyNumberFormat="1" applyFont="1" applyFill="1" applyAlignment="1">
      <alignment/>
    </xf>
    <xf numFmtId="173" fontId="12" fillId="7" borderId="0" xfId="0" applyNumberFormat="1" applyFont="1" applyFill="1" applyAlignment="1">
      <alignment/>
    </xf>
    <xf numFmtId="173" fontId="12" fillId="8" borderId="0" xfId="0" applyNumberFormat="1" applyFont="1" applyFill="1" applyAlignment="1">
      <alignment/>
    </xf>
    <xf numFmtId="2" fontId="12" fillId="7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173" fontId="11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77" fontId="22" fillId="0" borderId="0" xfId="0" applyNumberFormat="1" applyFont="1" applyFill="1" applyAlignment="1">
      <alignment horizontal="center"/>
    </xf>
    <xf numFmtId="173" fontId="22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45">
      <selection activeCell="A1" sqref="A1"/>
    </sheetView>
  </sheetViews>
  <sheetFormatPr defaultColWidth="9.140625" defaultRowHeight="12.75"/>
  <cols>
    <col min="3" max="3" width="13.7109375" style="0" customWidth="1"/>
    <col min="4" max="4" width="12.140625" style="0" customWidth="1"/>
    <col min="5" max="5" width="11.28125" style="0" customWidth="1"/>
    <col min="6" max="6" width="10.57421875" style="0" customWidth="1"/>
    <col min="7" max="7" width="10.8515625" style="0" customWidth="1"/>
    <col min="8" max="8" width="10.57421875" style="0" customWidth="1"/>
    <col min="9" max="9" width="10.57421875" style="275" customWidth="1"/>
    <col min="15" max="15" width="11.28125" style="0" customWidth="1"/>
  </cols>
  <sheetData>
    <row r="1" spans="1:11" ht="12.75">
      <c r="A1" s="1" t="s">
        <v>101</v>
      </c>
      <c r="B1" s="1"/>
      <c r="C1" s="1"/>
      <c r="D1" s="2"/>
      <c r="E1" s="2"/>
      <c r="F1" s="2"/>
      <c r="G1" s="2"/>
      <c r="H1" s="2"/>
      <c r="I1" s="300"/>
      <c r="J1" s="2"/>
      <c r="K1" s="2"/>
    </row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300"/>
      <c r="J2" s="2"/>
      <c r="K2" s="2"/>
    </row>
    <row r="3" spans="2:4" ht="12.75">
      <c r="B3" s="75" t="s">
        <v>1</v>
      </c>
      <c r="C3" s="15" t="s">
        <v>2</v>
      </c>
      <c r="D3" s="76" t="s">
        <v>3</v>
      </c>
    </row>
    <row r="4" ht="12.75"/>
    <row r="5" spans="1:15" s="25" customFormat="1" ht="12.75">
      <c r="A5" s="32"/>
      <c r="B5" s="33" t="s">
        <v>53</v>
      </c>
      <c r="C5" s="32"/>
      <c r="D5" s="32"/>
      <c r="E5" s="34"/>
      <c r="F5" s="32"/>
      <c r="G5" s="32"/>
      <c r="H5" s="32"/>
      <c r="I5" s="191"/>
      <c r="J5" s="32"/>
      <c r="K5" s="32"/>
      <c r="L5" s="32"/>
      <c r="M5" s="32"/>
      <c r="N5" s="32"/>
      <c r="O5" s="32"/>
    </row>
    <row r="6" spans="2:9" s="25" customFormat="1" ht="12.75">
      <c r="B6" s="74" t="s">
        <v>4</v>
      </c>
      <c r="E6" s="8"/>
      <c r="I6" s="297"/>
    </row>
    <row r="7" spans="1:15" ht="12.75">
      <c r="A7" t="s">
        <v>6</v>
      </c>
      <c r="B7" t="s">
        <v>5</v>
      </c>
      <c r="E7" s="31">
        <v>0.03</v>
      </c>
      <c r="F7" s="31">
        <v>0.23</v>
      </c>
      <c r="G7" s="31">
        <v>0.12</v>
      </c>
      <c r="H7" s="31">
        <v>0.85</v>
      </c>
      <c r="I7" s="272">
        <v>0.085</v>
      </c>
      <c r="J7" s="31">
        <v>0.04</v>
      </c>
      <c r="K7" s="31">
        <v>0.32</v>
      </c>
      <c r="L7" s="31">
        <v>0.19</v>
      </c>
      <c r="M7" s="31">
        <v>0.02</v>
      </c>
      <c r="N7" s="31">
        <v>0.29</v>
      </c>
      <c r="O7" s="31">
        <v>0.02</v>
      </c>
    </row>
    <row r="8" spans="5:15" ht="12.75">
      <c r="E8" s="8"/>
      <c r="O8" s="46"/>
    </row>
    <row r="9" spans="1:15" ht="12.75">
      <c r="A9" t="s">
        <v>8</v>
      </c>
      <c r="B9" t="s">
        <v>7</v>
      </c>
      <c r="E9" s="8">
        <f>E7*10</f>
        <v>0.3</v>
      </c>
      <c r="F9" s="8">
        <f aca="true" t="shared" si="0" ref="F9:O9">F7*10</f>
        <v>2.3000000000000003</v>
      </c>
      <c r="G9" s="8">
        <f t="shared" si="0"/>
        <v>1.2</v>
      </c>
      <c r="H9" s="8">
        <f t="shared" si="0"/>
        <v>8.5</v>
      </c>
      <c r="I9" s="276">
        <f>I7*10</f>
        <v>0.8500000000000001</v>
      </c>
      <c r="J9" s="8">
        <f t="shared" si="0"/>
        <v>0.4</v>
      </c>
      <c r="K9" s="8">
        <f t="shared" si="0"/>
        <v>3.2</v>
      </c>
      <c r="L9" s="8">
        <f t="shared" si="0"/>
        <v>1.9</v>
      </c>
      <c r="M9" s="8">
        <f t="shared" si="0"/>
        <v>0.2</v>
      </c>
      <c r="N9" s="8">
        <f t="shared" si="0"/>
        <v>2.9</v>
      </c>
      <c r="O9" s="8">
        <f t="shared" si="0"/>
        <v>0.2</v>
      </c>
    </row>
    <row r="10" spans="1:15" ht="12.75">
      <c r="A10" t="s">
        <v>9</v>
      </c>
      <c r="C10" t="s">
        <v>35</v>
      </c>
      <c r="D10" s="9"/>
      <c r="E10" s="8">
        <f>0.55*E9</f>
        <v>0.165</v>
      </c>
      <c r="F10" s="8">
        <f aca="true" t="shared" si="1" ref="F10:O10">0.55*F9</f>
        <v>1.2650000000000003</v>
      </c>
      <c r="G10" s="8">
        <f t="shared" si="1"/>
        <v>0.66</v>
      </c>
      <c r="H10" s="8">
        <f t="shared" si="1"/>
        <v>4.675000000000001</v>
      </c>
      <c r="I10" s="276">
        <f t="shared" si="1"/>
        <v>0.4675000000000001</v>
      </c>
      <c r="J10" s="8">
        <f t="shared" si="1"/>
        <v>0.22000000000000003</v>
      </c>
      <c r="K10" s="8">
        <f t="shared" si="1"/>
        <v>1.7600000000000002</v>
      </c>
      <c r="L10" s="8">
        <f t="shared" si="1"/>
        <v>1.045</v>
      </c>
      <c r="M10" s="8">
        <f t="shared" si="1"/>
        <v>0.11000000000000001</v>
      </c>
      <c r="N10" s="8">
        <f t="shared" si="1"/>
        <v>1.595</v>
      </c>
      <c r="O10" s="8">
        <f t="shared" si="1"/>
        <v>0.11000000000000001</v>
      </c>
    </row>
    <row r="11" spans="1:15" ht="12.75">
      <c r="A11" t="s">
        <v>9</v>
      </c>
      <c r="C11" t="s">
        <v>36</v>
      </c>
      <c r="D11" s="9"/>
      <c r="E11" s="8">
        <f>0.33*E9</f>
        <v>0.099</v>
      </c>
      <c r="F11" s="8">
        <f aca="true" t="shared" si="2" ref="F11:O11">0.33*F9</f>
        <v>0.7590000000000001</v>
      </c>
      <c r="G11" s="8">
        <f t="shared" si="2"/>
        <v>0.396</v>
      </c>
      <c r="H11" s="8">
        <f t="shared" si="2"/>
        <v>2.805</v>
      </c>
      <c r="I11" s="276">
        <f>0.33*I9</f>
        <v>0.2805</v>
      </c>
      <c r="J11" s="8">
        <f t="shared" si="2"/>
        <v>0.132</v>
      </c>
      <c r="K11" s="8">
        <f t="shared" si="2"/>
        <v>1.056</v>
      </c>
      <c r="L11" s="8">
        <f t="shared" si="2"/>
        <v>0.627</v>
      </c>
      <c r="M11" s="8">
        <f t="shared" si="2"/>
        <v>0.066</v>
      </c>
      <c r="N11" s="8">
        <f t="shared" si="2"/>
        <v>0.957</v>
      </c>
      <c r="O11" s="8">
        <f t="shared" si="2"/>
        <v>0.066</v>
      </c>
    </row>
    <row r="12" spans="1:15" ht="12.75">
      <c r="A12" t="s">
        <v>9</v>
      </c>
      <c r="C12" t="s">
        <v>37</v>
      </c>
      <c r="D12" s="9"/>
      <c r="E12" s="8">
        <f>0.12*E9</f>
        <v>0.036</v>
      </c>
      <c r="F12" s="8">
        <f aca="true" t="shared" si="3" ref="F12:O12">0.12*F9</f>
        <v>0.276</v>
      </c>
      <c r="G12" s="8">
        <f t="shared" si="3"/>
        <v>0.144</v>
      </c>
      <c r="H12" s="8">
        <f t="shared" si="3"/>
        <v>1.02</v>
      </c>
      <c r="I12" s="276">
        <f>0.12*I9</f>
        <v>0.10200000000000001</v>
      </c>
      <c r="J12" s="8">
        <f t="shared" si="3"/>
        <v>0.048</v>
      </c>
      <c r="K12" s="8">
        <f t="shared" si="3"/>
        <v>0.384</v>
      </c>
      <c r="L12" s="8">
        <f t="shared" si="3"/>
        <v>0.22799999999999998</v>
      </c>
      <c r="M12" s="8">
        <f t="shared" si="3"/>
        <v>0.024</v>
      </c>
      <c r="N12" s="8">
        <f t="shared" si="3"/>
        <v>0.348</v>
      </c>
      <c r="O12" s="8">
        <f t="shared" si="3"/>
        <v>0.024</v>
      </c>
    </row>
    <row r="13" spans="5:15" ht="12.75">
      <c r="E13" s="7"/>
      <c r="F13" s="7"/>
      <c r="G13" s="7"/>
      <c r="H13" s="7"/>
      <c r="I13" s="277"/>
      <c r="J13" s="7"/>
      <c r="K13" s="7"/>
      <c r="L13" s="7"/>
      <c r="M13" s="7"/>
      <c r="N13" s="7"/>
      <c r="O13" s="7"/>
    </row>
    <row r="14" spans="1:15" ht="12.75">
      <c r="A14" t="s">
        <v>9</v>
      </c>
      <c r="B14" t="s">
        <v>10</v>
      </c>
      <c r="E14" s="10">
        <f>0.997*E10+0.942*E11+0.797*E12</f>
        <v>0.286455</v>
      </c>
      <c r="F14" s="10">
        <f aca="true" t="shared" si="4" ref="F14:O14">0.997*F10+0.942*F11+0.797*F12</f>
        <v>2.1961550000000005</v>
      </c>
      <c r="G14" s="10">
        <f t="shared" si="4"/>
        <v>1.14582</v>
      </c>
      <c r="H14" s="10">
        <f t="shared" si="4"/>
        <v>8.116225</v>
      </c>
      <c r="I14" s="278">
        <f>0.997*I10+0.942*I11+0.797*I12</f>
        <v>0.8116225</v>
      </c>
      <c r="J14" s="10">
        <f t="shared" si="4"/>
        <v>0.38194000000000006</v>
      </c>
      <c r="K14" s="10">
        <f t="shared" si="4"/>
        <v>3.0555200000000005</v>
      </c>
      <c r="L14" s="10">
        <f t="shared" si="4"/>
        <v>1.8142149999999997</v>
      </c>
      <c r="M14" s="10">
        <f t="shared" si="4"/>
        <v>0.19097000000000003</v>
      </c>
      <c r="N14" s="10">
        <f t="shared" si="4"/>
        <v>2.769065</v>
      </c>
      <c r="O14" s="10">
        <f t="shared" si="4"/>
        <v>0.19097000000000003</v>
      </c>
    </row>
    <row r="15" spans="1:15" ht="12.75">
      <c r="A15" t="s">
        <v>9</v>
      </c>
      <c r="B15" t="s">
        <v>11</v>
      </c>
      <c r="E15" s="11">
        <f>0.002*E10+0.018*E11+0.033*E12</f>
        <v>0.0033</v>
      </c>
      <c r="F15" s="11">
        <f aca="true" t="shared" si="5" ref="F15:O15">0.002*F10+0.018*F11+0.033*F12</f>
        <v>0.025300000000000003</v>
      </c>
      <c r="G15" s="11">
        <f t="shared" si="5"/>
        <v>0.0132</v>
      </c>
      <c r="H15" s="11">
        <f t="shared" si="5"/>
        <v>0.0935</v>
      </c>
      <c r="I15" s="279">
        <f>0.002*I10+0.018*I11+0.033*I12</f>
        <v>0.00935</v>
      </c>
      <c r="J15" s="11">
        <f t="shared" si="5"/>
        <v>0.0044</v>
      </c>
      <c r="K15" s="11">
        <f t="shared" si="5"/>
        <v>0.0352</v>
      </c>
      <c r="L15" s="11">
        <f t="shared" si="5"/>
        <v>0.0209</v>
      </c>
      <c r="M15" s="11">
        <f t="shared" si="5"/>
        <v>0.0022</v>
      </c>
      <c r="N15" s="11">
        <f t="shared" si="5"/>
        <v>0.0319</v>
      </c>
      <c r="O15" s="11">
        <f t="shared" si="5"/>
        <v>0.0022</v>
      </c>
    </row>
    <row r="16" spans="1:15" ht="12.75">
      <c r="A16" t="s">
        <v>9</v>
      </c>
      <c r="B16" t="s">
        <v>34</v>
      </c>
      <c r="E16" s="10">
        <f>0.0002*E10+0.028*E11+0.077*E12</f>
        <v>0.005577</v>
      </c>
      <c r="F16" s="10">
        <f aca="true" t="shared" si="6" ref="F16:O16">0.0002*F10+0.028*F11+0.077*F12</f>
        <v>0.042757</v>
      </c>
      <c r="G16" s="10">
        <f t="shared" si="6"/>
        <v>0.022308</v>
      </c>
      <c r="H16" s="10">
        <f t="shared" si="6"/>
        <v>0.15801500000000002</v>
      </c>
      <c r="I16" s="278">
        <f>0.0002*I10+0.028*I11+0.077*I12</f>
        <v>0.015801500000000003</v>
      </c>
      <c r="J16" s="10">
        <f t="shared" si="6"/>
        <v>0.007436</v>
      </c>
      <c r="K16" s="10">
        <f t="shared" si="6"/>
        <v>0.059488</v>
      </c>
      <c r="L16" s="10">
        <f t="shared" si="6"/>
        <v>0.035321</v>
      </c>
      <c r="M16" s="10">
        <f t="shared" si="6"/>
        <v>0.003718</v>
      </c>
      <c r="N16" s="10">
        <f t="shared" si="6"/>
        <v>0.053911</v>
      </c>
      <c r="O16" s="10">
        <f t="shared" si="6"/>
        <v>0.003718</v>
      </c>
    </row>
    <row r="17" spans="5:15" ht="12.75">
      <c r="E17" s="10"/>
      <c r="F17" s="10"/>
      <c r="G17" s="10"/>
      <c r="H17" s="10"/>
      <c r="I17" s="278"/>
      <c r="J17" s="10"/>
      <c r="K17" s="10"/>
      <c r="L17" s="10"/>
      <c r="M17" s="10"/>
      <c r="N17" s="10"/>
      <c r="O17" s="10"/>
    </row>
    <row r="18" spans="1:15" ht="12.75">
      <c r="A18" t="s">
        <v>8</v>
      </c>
      <c r="B18" t="s">
        <v>12</v>
      </c>
      <c r="E18" s="12">
        <f>E14+E15</f>
        <v>0.28975500000000004</v>
      </c>
      <c r="F18" s="12">
        <f aca="true" t="shared" si="7" ref="F18:O18">F14+F15</f>
        <v>2.2214550000000006</v>
      </c>
      <c r="G18" s="12">
        <f t="shared" si="7"/>
        <v>1.1590200000000002</v>
      </c>
      <c r="H18" s="12">
        <f t="shared" si="7"/>
        <v>8.209725</v>
      </c>
      <c r="I18" s="280">
        <f>I14+I15</f>
        <v>0.8209725</v>
      </c>
      <c r="J18" s="12">
        <f t="shared" si="7"/>
        <v>0.3863400000000001</v>
      </c>
      <c r="K18" s="12">
        <f t="shared" si="7"/>
        <v>3.0907200000000006</v>
      </c>
      <c r="L18" s="12">
        <f t="shared" si="7"/>
        <v>1.8351149999999996</v>
      </c>
      <c r="M18" s="12">
        <f t="shared" si="7"/>
        <v>0.19317000000000004</v>
      </c>
      <c r="N18" s="12">
        <f t="shared" si="7"/>
        <v>2.8009649999999997</v>
      </c>
      <c r="O18" s="12">
        <f t="shared" si="7"/>
        <v>0.19317000000000004</v>
      </c>
    </row>
    <row r="19" spans="1:15" ht="12.75">
      <c r="A19" t="s">
        <v>8</v>
      </c>
      <c r="B19" t="s">
        <v>13</v>
      </c>
      <c r="E19" s="13">
        <f>E16</f>
        <v>0.005577</v>
      </c>
      <c r="F19" s="13">
        <f aca="true" t="shared" si="8" ref="F19:O19">F16</f>
        <v>0.042757</v>
      </c>
      <c r="G19" s="13">
        <f t="shared" si="8"/>
        <v>0.022308</v>
      </c>
      <c r="H19" s="13">
        <f t="shared" si="8"/>
        <v>0.15801500000000002</v>
      </c>
      <c r="I19" s="281">
        <f>I16</f>
        <v>0.015801500000000003</v>
      </c>
      <c r="J19" s="13">
        <f t="shared" si="8"/>
        <v>0.007436</v>
      </c>
      <c r="K19" s="13">
        <f t="shared" si="8"/>
        <v>0.059488</v>
      </c>
      <c r="L19" s="13">
        <f t="shared" si="8"/>
        <v>0.035321</v>
      </c>
      <c r="M19" s="13">
        <f t="shared" si="8"/>
        <v>0.003718</v>
      </c>
      <c r="N19" s="13">
        <f t="shared" si="8"/>
        <v>0.053911</v>
      </c>
      <c r="O19" s="13">
        <f t="shared" si="8"/>
        <v>0.003718</v>
      </c>
    </row>
    <row r="21" spans="2:15" ht="12.75" customHeight="1" hidden="1">
      <c r="B21" s="14" t="s">
        <v>14</v>
      </c>
      <c r="E21" s="7"/>
      <c r="F21" s="7"/>
      <c r="G21" s="7"/>
      <c r="H21" s="7"/>
      <c r="I21" s="277"/>
      <c r="J21" s="7"/>
      <c r="K21" s="7"/>
      <c r="L21" s="7"/>
      <c r="M21" s="7"/>
      <c r="N21" s="7"/>
      <c r="O21" s="7"/>
    </row>
    <row r="22" spans="2:15" ht="12.75" customHeight="1" hidden="1">
      <c r="B22" t="s">
        <v>15</v>
      </c>
      <c r="E22" s="7"/>
      <c r="F22" s="7"/>
      <c r="G22" s="7"/>
      <c r="H22" s="7"/>
      <c r="I22" s="277"/>
      <c r="J22" s="7"/>
      <c r="K22" s="7"/>
      <c r="L22" s="7"/>
      <c r="M22" s="7"/>
      <c r="N22" s="7"/>
      <c r="O22" s="7"/>
    </row>
    <row r="23" spans="5:15" ht="12.75" customHeight="1" hidden="1">
      <c r="E23" s="7"/>
      <c r="F23" s="7"/>
      <c r="G23" s="7"/>
      <c r="H23" s="7"/>
      <c r="I23" s="277"/>
      <c r="J23" s="7"/>
      <c r="K23" s="7"/>
      <c r="L23" s="7"/>
      <c r="M23" s="7"/>
      <c r="N23" s="7"/>
      <c r="O23" s="7"/>
    </row>
    <row r="24" spans="2:15" ht="12.75" customHeight="1" hidden="1">
      <c r="B24" s="14" t="s">
        <v>16</v>
      </c>
      <c r="E24" s="7"/>
      <c r="F24" s="7"/>
      <c r="G24" s="7"/>
      <c r="H24" s="7"/>
      <c r="I24" s="277"/>
      <c r="J24" s="7"/>
      <c r="K24" s="7"/>
      <c r="L24" s="7"/>
      <c r="M24" s="7"/>
      <c r="N24" s="7"/>
      <c r="O24" s="7"/>
    </row>
    <row r="25" spans="2:15" ht="12.75" customHeight="1" hidden="1">
      <c r="B25" t="s">
        <v>17</v>
      </c>
      <c r="E25" s="7">
        <v>2.25</v>
      </c>
      <c r="F25" s="7">
        <v>2.25</v>
      </c>
      <c r="G25" s="7">
        <v>2.25</v>
      </c>
      <c r="H25" s="7">
        <v>2.25</v>
      </c>
      <c r="I25" s="277">
        <v>2.25</v>
      </c>
      <c r="J25" s="7">
        <v>2.25</v>
      </c>
      <c r="K25" s="7">
        <v>2.25</v>
      </c>
      <c r="L25" s="7">
        <v>2.25</v>
      </c>
      <c r="M25" s="7">
        <v>2.25</v>
      </c>
      <c r="N25" s="7">
        <v>2.25</v>
      </c>
      <c r="O25" s="7">
        <v>2.25</v>
      </c>
    </row>
    <row r="26" spans="2:15" ht="12.75" customHeight="1" hidden="1">
      <c r="B26" t="s">
        <v>7</v>
      </c>
      <c r="E26" s="7">
        <v>0.001</v>
      </c>
      <c r="F26" s="7">
        <v>0.001</v>
      </c>
      <c r="G26" s="7">
        <v>0.001</v>
      </c>
      <c r="H26" s="7">
        <v>0.001</v>
      </c>
      <c r="I26" s="277">
        <v>0.001</v>
      </c>
      <c r="J26" s="7">
        <v>0.001</v>
      </c>
      <c r="K26" s="7">
        <v>0.001</v>
      </c>
      <c r="L26" s="7">
        <v>0.001</v>
      </c>
      <c r="M26" s="7">
        <v>0.001</v>
      </c>
      <c r="N26" s="7">
        <v>0.001</v>
      </c>
      <c r="O26" s="7">
        <v>0.001</v>
      </c>
    </row>
    <row r="27" spans="5:15" ht="12.75" customHeight="1" hidden="1">
      <c r="E27" s="7"/>
      <c r="F27" s="7"/>
      <c r="G27" s="7"/>
      <c r="H27" s="7"/>
      <c r="I27" s="277"/>
      <c r="J27" s="7"/>
      <c r="K27" s="7"/>
      <c r="L27" s="7"/>
      <c r="M27" s="7"/>
      <c r="N27" s="7"/>
      <c r="O27" s="7"/>
    </row>
    <row r="28" spans="5:15" ht="12.75" customHeight="1" hidden="1">
      <c r="E28" s="7"/>
      <c r="F28" s="7"/>
      <c r="G28" s="7"/>
      <c r="H28" s="7"/>
      <c r="I28" s="277"/>
      <c r="J28" s="7"/>
      <c r="K28" s="7"/>
      <c r="L28" s="7"/>
      <c r="M28" s="7"/>
      <c r="N28" s="7"/>
      <c r="O28" s="7"/>
    </row>
    <row r="29" spans="5:15" ht="12.75" customHeight="1" hidden="1">
      <c r="E29" s="7"/>
      <c r="F29" s="7"/>
      <c r="G29" s="7"/>
      <c r="H29" s="7"/>
      <c r="I29" s="277"/>
      <c r="J29" s="7"/>
      <c r="K29" s="7"/>
      <c r="L29" s="7"/>
      <c r="M29" s="7"/>
      <c r="N29" s="7"/>
      <c r="O29" s="7"/>
    </row>
    <row r="30" spans="2:15" ht="12.75" customHeight="1" hidden="1">
      <c r="B30" t="s">
        <v>18</v>
      </c>
      <c r="E30" s="16">
        <f>E19+H26</f>
        <v>0.006577</v>
      </c>
      <c r="F30" s="16">
        <f>F19+J26</f>
        <v>0.043757000000000004</v>
      </c>
      <c r="G30" s="16">
        <f>G19+K26</f>
        <v>0.023308000000000002</v>
      </c>
      <c r="H30" s="16">
        <f>H19+L26</f>
        <v>0.15901500000000002</v>
      </c>
      <c r="I30" s="282">
        <f>I19+M26</f>
        <v>0.016801500000000004</v>
      </c>
      <c r="J30" s="16">
        <f>J19+M26</f>
        <v>0.008435999999999999</v>
      </c>
      <c r="K30" s="16">
        <f>K19+N26</f>
        <v>0.060488</v>
      </c>
      <c r="L30" s="16">
        <f>L19+O26</f>
        <v>0.036321</v>
      </c>
      <c r="M30" s="16" t="e">
        <f>M19+#REF!</f>
        <v>#REF!</v>
      </c>
      <c r="N30" s="16" t="e">
        <f>N19+#REF!</f>
        <v>#REF!</v>
      </c>
      <c r="O30" s="16" t="e">
        <f>O19+#REF!</f>
        <v>#REF!</v>
      </c>
    </row>
    <row r="31" spans="2:15" ht="12.75" customHeight="1" hidden="1">
      <c r="B31" t="s">
        <v>19</v>
      </c>
      <c r="E31" s="17">
        <f>E18+H25</f>
        <v>2.539755</v>
      </c>
      <c r="F31" s="17">
        <f>F18+J25</f>
        <v>4.471455000000001</v>
      </c>
      <c r="G31" s="17">
        <f>G18+K25</f>
        <v>3.40902</v>
      </c>
      <c r="H31" s="17">
        <f>H18+L25</f>
        <v>10.459725</v>
      </c>
      <c r="I31" s="283">
        <f>I18+M25</f>
        <v>3.0709725</v>
      </c>
      <c r="J31" s="17">
        <f>J18+M25</f>
        <v>2.63634</v>
      </c>
      <c r="K31" s="17">
        <f>K18+N25</f>
        <v>5.340720000000001</v>
      </c>
      <c r="L31" s="17">
        <f>L18+O25</f>
        <v>4.085115</v>
      </c>
      <c r="M31" s="17" t="e">
        <f>M18+#REF!</f>
        <v>#REF!</v>
      </c>
      <c r="N31" s="17" t="e">
        <f>N18+#REF!</f>
        <v>#REF!</v>
      </c>
      <c r="O31" s="17" t="e">
        <f>O18+#REF!</f>
        <v>#REF!</v>
      </c>
    </row>
    <row r="32" spans="2:15" ht="12.75" customHeight="1" hidden="1">
      <c r="B32" t="s">
        <v>20</v>
      </c>
      <c r="E32" s="15">
        <f>H22</f>
        <v>0</v>
      </c>
      <c r="F32" s="15">
        <f>J22</f>
        <v>0</v>
      </c>
      <c r="G32" s="15">
        <f>K22</f>
        <v>0</v>
      </c>
      <c r="H32" s="15">
        <f>L22</f>
        <v>0</v>
      </c>
      <c r="I32" s="284">
        <f>M22</f>
        <v>0</v>
      </c>
      <c r="J32" s="15">
        <f>M22</f>
        <v>0</v>
      </c>
      <c r="K32" s="15">
        <f>N22</f>
        <v>0</v>
      </c>
      <c r="L32" s="15">
        <f>O22</f>
        <v>0</v>
      </c>
      <c r="M32" s="15" t="e">
        <f>#REF!</f>
        <v>#REF!</v>
      </c>
      <c r="N32" s="15" t="e">
        <f>#REF!</f>
        <v>#REF!</v>
      </c>
      <c r="O32" s="15" t="e">
        <f>#REF!</f>
        <v>#REF!</v>
      </c>
    </row>
    <row r="33" spans="5:15" ht="12.75" customHeight="1" hidden="1">
      <c r="E33" s="7"/>
      <c r="F33" s="7"/>
      <c r="G33" s="7"/>
      <c r="H33" s="7"/>
      <c r="I33" s="277"/>
      <c r="J33" s="7"/>
      <c r="K33" s="7"/>
      <c r="L33" s="7"/>
      <c r="M33" s="7"/>
      <c r="N33" s="7"/>
      <c r="O33" s="7"/>
    </row>
    <row r="34" spans="5:15" ht="12.75" customHeight="1" hidden="1">
      <c r="E34" s="7"/>
      <c r="F34" s="7"/>
      <c r="G34" s="7"/>
      <c r="H34" s="7"/>
      <c r="I34" s="277"/>
      <c r="J34" s="7"/>
      <c r="K34" s="7"/>
      <c r="L34" s="7"/>
      <c r="M34" s="7"/>
      <c r="N34" s="7"/>
      <c r="O34" s="7"/>
    </row>
    <row r="35" ht="12.75" customHeight="1" hidden="1"/>
    <row r="36" ht="12.75" customHeight="1" hidden="1"/>
    <row r="37" ht="12.75" customHeight="1" hidden="1">
      <c r="B37" s="14" t="s">
        <v>21</v>
      </c>
    </row>
    <row r="38" ht="12.75" customHeight="1" hidden="1">
      <c r="B38" s="18">
        <f>63.2-15*LN(E31)</f>
        <v>49.218985704720716</v>
      </c>
    </row>
    <row r="39" spans="1:2" ht="12.75" customHeight="1" hidden="1">
      <c r="A39">
        <f>-0.1167*E31</f>
        <v>-0.2963894085</v>
      </c>
      <c r="B39" s="18">
        <f>72.9*EXP(A39)</f>
        <v>54.20099306523793</v>
      </c>
    </row>
    <row r="40" ht="12.75" customHeight="1" hidden="1">
      <c r="B40" s="18">
        <f>AVERAGE(B38:B39)</f>
        <v>51.70998938497932</v>
      </c>
    </row>
    <row r="41" spans="2:15" ht="12.75">
      <c r="B41" s="18"/>
      <c r="E41" s="18">
        <f>63.2-15*LN(E18)</f>
        <v>81.78079310983657</v>
      </c>
      <c r="F41" s="18">
        <f aca="true" t="shared" si="9" ref="F41:O41">63.2-15*LN(F18)</f>
        <v>51.227564200920966</v>
      </c>
      <c r="G41" s="18">
        <f t="shared" si="9"/>
        <v>60.98637769303821</v>
      </c>
      <c r="H41" s="18">
        <f t="shared" si="9"/>
        <v>31.62020859250346</v>
      </c>
      <c r="I41" s="285">
        <f>63.2-15*LN(I18)</f>
        <v>66.15898498741414</v>
      </c>
      <c r="J41" s="18">
        <f t="shared" si="9"/>
        <v>77.46556202305985</v>
      </c>
      <c r="K41" s="18">
        <f t="shared" si="9"/>
        <v>46.27393889786231</v>
      </c>
      <c r="L41" s="18">
        <f t="shared" si="9"/>
        <v>54.09339275236161</v>
      </c>
      <c r="M41" s="18">
        <f t="shared" si="9"/>
        <v>87.86276973145903</v>
      </c>
      <c r="N41" s="18">
        <f t="shared" si="9"/>
        <v>47.7505399900611</v>
      </c>
      <c r="O41" s="18">
        <f t="shared" si="9"/>
        <v>87.86276973145903</v>
      </c>
    </row>
    <row r="42" spans="2:15" ht="14.25" customHeight="1">
      <c r="B42" s="18"/>
      <c r="E42" s="18">
        <f>-0.1167*(E18)</f>
        <v>-0.033814408500000004</v>
      </c>
      <c r="F42" s="18">
        <f aca="true" t="shared" si="10" ref="F42:O42">-0.1167*(F18)</f>
        <v>-0.25924379850000007</v>
      </c>
      <c r="G42" s="18">
        <f t="shared" si="10"/>
        <v>-0.13525763400000002</v>
      </c>
      <c r="H42" s="18">
        <f t="shared" si="10"/>
        <v>-0.9580749075</v>
      </c>
      <c r="I42" s="285">
        <f>-0.1167*(I18)</f>
        <v>-0.09580749075</v>
      </c>
      <c r="J42" s="18">
        <f t="shared" si="10"/>
        <v>-0.04508587800000001</v>
      </c>
      <c r="K42" s="18">
        <f t="shared" si="10"/>
        <v>-0.3606870240000001</v>
      </c>
      <c r="L42" s="18">
        <f t="shared" si="10"/>
        <v>-0.21415792049999996</v>
      </c>
      <c r="M42" s="18">
        <f t="shared" si="10"/>
        <v>-0.022542939000000005</v>
      </c>
      <c r="N42" s="18">
        <f t="shared" si="10"/>
        <v>-0.32687261549999996</v>
      </c>
      <c r="O42" s="18">
        <f t="shared" si="10"/>
        <v>-0.022542939000000005</v>
      </c>
    </row>
    <row r="43" spans="2:15" ht="12.75">
      <c r="B43" s="18"/>
      <c r="E43" s="18">
        <f>72.9*EXP(E42)</f>
        <v>70.47614124717028</v>
      </c>
      <c r="F43" s="18">
        <f aca="true" t="shared" si="11" ref="F43:O43">72.9*EXP(F42)</f>
        <v>56.25218251028197</v>
      </c>
      <c r="G43" s="18">
        <f t="shared" si="11"/>
        <v>63.67748236407953</v>
      </c>
      <c r="H43" s="18">
        <f t="shared" si="11"/>
        <v>27.966678040979723</v>
      </c>
      <c r="I43" s="285">
        <f t="shared" si="11"/>
        <v>66.2397773139215</v>
      </c>
      <c r="J43" s="18">
        <f t="shared" si="11"/>
        <v>69.68623165445456</v>
      </c>
      <c r="K43" s="18">
        <f t="shared" si="11"/>
        <v>50.82567371526298</v>
      </c>
      <c r="L43" s="18">
        <f t="shared" si="11"/>
        <v>58.846403480872134</v>
      </c>
      <c r="M43" s="18">
        <f t="shared" si="11"/>
        <v>71.27500464826177</v>
      </c>
      <c r="N43" s="18">
        <f t="shared" si="11"/>
        <v>52.57370151478662</v>
      </c>
      <c r="O43" s="18">
        <f t="shared" si="11"/>
        <v>71.27500464826177</v>
      </c>
    </row>
    <row r="44" spans="2:15" ht="12.75">
      <c r="B44" s="18"/>
      <c r="C44" s="14" t="s">
        <v>23</v>
      </c>
      <c r="E44" s="22">
        <f>AVERAGE(E41,E43)</f>
        <v>76.12846717850343</v>
      </c>
      <c r="F44" s="22">
        <f aca="true" t="shared" si="12" ref="F44:O44">AVERAGE(F41,F43)</f>
        <v>53.73987335560147</v>
      </c>
      <c r="G44" s="22">
        <f t="shared" si="12"/>
        <v>62.33193002855887</v>
      </c>
      <c r="H44" s="22">
        <f t="shared" si="12"/>
        <v>29.79344331674159</v>
      </c>
      <c r="I44" s="301">
        <f t="shared" si="12"/>
        <v>66.19938115066782</v>
      </c>
      <c r="J44" s="22">
        <f t="shared" si="12"/>
        <v>73.5758968387572</v>
      </c>
      <c r="K44" s="22">
        <f t="shared" si="12"/>
        <v>48.549806306562644</v>
      </c>
      <c r="L44" s="22">
        <f t="shared" si="12"/>
        <v>56.469898116616875</v>
      </c>
      <c r="M44" s="22">
        <f t="shared" si="12"/>
        <v>79.56888718986039</v>
      </c>
      <c r="N44" s="22">
        <f t="shared" si="12"/>
        <v>50.16212075242386</v>
      </c>
      <c r="O44" s="22">
        <f t="shared" si="12"/>
        <v>79.56888718986039</v>
      </c>
    </row>
    <row r="46" spans="3:15" ht="38.25">
      <c r="C46" s="19" t="s">
        <v>22</v>
      </c>
      <c r="D46" s="19"/>
      <c r="F46" s="19"/>
      <c r="G46" s="19"/>
      <c r="H46" s="19"/>
      <c r="I46" s="287"/>
      <c r="J46" s="19"/>
      <c r="K46" s="19"/>
      <c r="L46" s="19"/>
      <c r="M46" s="19"/>
      <c r="N46" s="19"/>
      <c r="O46" s="19"/>
    </row>
    <row r="47" spans="1:15" ht="12.75">
      <c r="A47" t="s">
        <v>8</v>
      </c>
      <c r="B47" t="s">
        <v>38</v>
      </c>
      <c r="D47" s="20"/>
      <c r="E47" s="13">
        <f>E19*100/100</f>
        <v>0.005577000000000001</v>
      </c>
      <c r="F47" s="13">
        <f aca="true" t="shared" si="13" ref="F47:O47">F19*100/100</f>
        <v>0.042757</v>
      </c>
      <c r="G47" s="13">
        <f t="shared" si="13"/>
        <v>0.022308000000000005</v>
      </c>
      <c r="H47" s="13">
        <f t="shared" si="13"/>
        <v>0.15801500000000002</v>
      </c>
      <c r="I47" s="281">
        <f>I19*100/100</f>
        <v>0.015801500000000003</v>
      </c>
      <c r="J47" s="13">
        <f t="shared" si="13"/>
        <v>0.007436000000000001</v>
      </c>
      <c r="K47" s="13">
        <f t="shared" si="13"/>
        <v>0.059488000000000006</v>
      </c>
      <c r="L47" s="13">
        <f t="shared" si="13"/>
        <v>0.035321</v>
      </c>
      <c r="M47" s="13">
        <f t="shared" si="13"/>
        <v>0.0037180000000000004</v>
      </c>
      <c r="N47" s="13">
        <f t="shared" si="13"/>
        <v>0.053911</v>
      </c>
      <c r="O47" s="13">
        <f t="shared" si="13"/>
        <v>0.0037180000000000004</v>
      </c>
    </row>
    <row r="48" spans="1:15" ht="12.75">
      <c r="A48" t="s">
        <v>8</v>
      </c>
      <c r="B48" t="s">
        <v>24</v>
      </c>
      <c r="D48" s="21"/>
      <c r="E48" s="12">
        <f>E18*E44/100</f>
        <v>0.22058604007307264</v>
      </c>
      <c r="F48" s="12">
        <f aca="true" t="shared" si="14" ref="F48:O48">F18*F44/100</f>
        <v>1.1938071036516769</v>
      </c>
      <c r="G48" s="12">
        <f t="shared" si="14"/>
        <v>0.7224395354170032</v>
      </c>
      <c r="H48" s="12">
        <f t="shared" si="14"/>
        <v>2.4459597643353637</v>
      </c>
      <c r="I48" s="280">
        <f>I18*I44/100</f>
        <v>0.5434787144171663</v>
      </c>
      <c r="J48" s="12">
        <f t="shared" si="14"/>
        <v>0.28425311984685464</v>
      </c>
      <c r="K48" s="12">
        <f t="shared" si="14"/>
        <v>1.5005385734781933</v>
      </c>
      <c r="L48" s="12">
        <f t="shared" si="14"/>
        <v>1.0362875708227535</v>
      </c>
      <c r="M48" s="12">
        <f t="shared" si="14"/>
        <v>0.15370321938465334</v>
      </c>
      <c r="N48" s="12">
        <f t="shared" si="14"/>
        <v>1.405023445533129</v>
      </c>
      <c r="O48" s="12">
        <f t="shared" si="14"/>
        <v>0.15370321938465334</v>
      </c>
    </row>
    <row r="49" spans="2:15" ht="12.75">
      <c r="B49" t="s">
        <v>25</v>
      </c>
      <c r="E49" s="10">
        <f>SUM(E47:E48)</f>
        <v>0.22616304007307264</v>
      </c>
      <c r="F49" s="10">
        <f aca="true" t="shared" si="15" ref="F49:O49">SUM(F47:F48)</f>
        <v>1.2365641036516768</v>
      </c>
      <c r="G49" s="10">
        <f t="shared" si="15"/>
        <v>0.7447475354170032</v>
      </c>
      <c r="H49" s="10">
        <f t="shared" si="15"/>
        <v>2.603974764335364</v>
      </c>
      <c r="I49" s="278">
        <f t="shared" si="15"/>
        <v>0.5592802144171664</v>
      </c>
      <c r="J49" s="10">
        <f t="shared" si="15"/>
        <v>0.29168911984685464</v>
      </c>
      <c r="K49" s="10">
        <f t="shared" si="15"/>
        <v>1.5600265734781933</v>
      </c>
      <c r="L49" s="10">
        <f t="shared" si="15"/>
        <v>1.0716085708227534</v>
      </c>
      <c r="M49" s="10">
        <f t="shared" si="15"/>
        <v>0.15742121938465334</v>
      </c>
      <c r="N49" s="10">
        <f t="shared" si="15"/>
        <v>1.458934445533129</v>
      </c>
      <c r="O49" s="10">
        <f t="shared" si="15"/>
        <v>0.15742121938465334</v>
      </c>
    </row>
    <row r="50" spans="1:15" ht="12.75">
      <c r="A50" s="71" t="s">
        <v>52</v>
      </c>
      <c r="E50" s="66">
        <f>E49*(240/365)/70</f>
        <v>0.002124427773680526</v>
      </c>
      <c r="F50" s="66">
        <f aca="true" t="shared" si="16" ref="F50:O50">F49*(240/365)/70</f>
        <v>0.011615474946238841</v>
      </c>
      <c r="G50" s="66">
        <f t="shared" si="16"/>
        <v>0.006995671565560891</v>
      </c>
      <c r="H50" s="66">
        <f t="shared" si="16"/>
        <v>0.02446003692526369</v>
      </c>
      <c r="I50" s="68">
        <f t="shared" si="16"/>
        <v>0.005253512777304107</v>
      </c>
      <c r="J50" s="66">
        <f t="shared" si="16"/>
        <v>0.0027399369378960903</v>
      </c>
      <c r="K50" s="66">
        <f t="shared" si="16"/>
        <v>0.014653869966135668</v>
      </c>
      <c r="L50" s="66">
        <f t="shared" si="16"/>
        <v>0.01006599048913741</v>
      </c>
      <c r="M50" s="66">
        <f t="shared" si="16"/>
        <v>0.0014787120411865675</v>
      </c>
      <c r="N50" s="66">
        <f t="shared" si="16"/>
        <v>0.013704276592092012</v>
      </c>
      <c r="O50" s="66">
        <f t="shared" si="16"/>
        <v>0.0014787120411865675</v>
      </c>
    </row>
    <row r="51" ht="13.5" customHeight="1"/>
    <row r="52" ht="12.75">
      <c r="B52" s="6" t="s">
        <v>14</v>
      </c>
    </row>
    <row r="53" spans="1:15" ht="12.75">
      <c r="A53" t="s">
        <v>8</v>
      </c>
      <c r="B53" t="s">
        <v>26</v>
      </c>
      <c r="E53" s="4">
        <v>60</v>
      </c>
      <c r="F53" s="4">
        <v>60</v>
      </c>
      <c r="G53" s="4">
        <v>60</v>
      </c>
      <c r="H53" s="4">
        <v>60</v>
      </c>
      <c r="I53" s="296">
        <v>61</v>
      </c>
      <c r="J53" s="4">
        <v>60</v>
      </c>
      <c r="K53" s="4">
        <v>60</v>
      </c>
      <c r="L53" s="4">
        <v>60</v>
      </c>
      <c r="M53" s="4">
        <v>60</v>
      </c>
      <c r="N53" s="4">
        <v>60</v>
      </c>
      <c r="O53" s="4">
        <v>60</v>
      </c>
    </row>
    <row r="54" spans="1:15" ht="12.75">
      <c r="A54" t="s">
        <v>8</v>
      </c>
      <c r="B54" t="s">
        <v>27</v>
      </c>
      <c r="E54" s="4">
        <f>E53*0.3/100</f>
        <v>0.18</v>
      </c>
      <c r="F54" s="4">
        <f aca="true" t="shared" si="17" ref="F54:O54">F53*0.3/100</f>
        <v>0.18</v>
      </c>
      <c r="G54" s="4">
        <f t="shared" si="17"/>
        <v>0.18</v>
      </c>
      <c r="H54" s="4">
        <f t="shared" si="17"/>
        <v>0.18</v>
      </c>
      <c r="I54" s="296">
        <f t="shared" si="17"/>
        <v>0.183</v>
      </c>
      <c r="J54" s="4">
        <f t="shared" si="17"/>
        <v>0.18</v>
      </c>
      <c r="K54" s="4">
        <f t="shared" si="17"/>
        <v>0.18</v>
      </c>
      <c r="L54" s="4">
        <f t="shared" si="17"/>
        <v>0.18</v>
      </c>
      <c r="M54" s="4">
        <f t="shared" si="17"/>
        <v>0.18</v>
      </c>
      <c r="N54" s="4">
        <f t="shared" si="17"/>
        <v>0.18</v>
      </c>
      <c r="O54" s="4">
        <f t="shared" si="17"/>
        <v>0.18</v>
      </c>
    </row>
    <row r="55" spans="1:15" ht="12.75">
      <c r="A55" s="71" t="s">
        <v>52</v>
      </c>
      <c r="E55" s="65">
        <f>E54*(240/365)/70</f>
        <v>0.0016908023483365947</v>
      </c>
      <c r="F55" s="65">
        <f aca="true" t="shared" si="18" ref="F55:O55">F54*(240/365)/70</f>
        <v>0.0016908023483365947</v>
      </c>
      <c r="G55" s="65">
        <f t="shared" si="18"/>
        <v>0.0016908023483365947</v>
      </c>
      <c r="H55" s="65">
        <f t="shared" si="18"/>
        <v>0.0016908023483365947</v>
      </c>
      <c r="I55" s="302">
        <f t="shared" si="18"/>
        <v>0.001718982387475538</v>
      </c>
      <c r="J55" s="65">
        <f t="shared" si="18"/>
        <v>0.0016908023483365947</v>
      </c>
      <c r="K55" s="65">
        <f t="shared" si="18"/>
        <v>0.0016908023483365947</v>
      </c>
      <c r="L55" s="65">
        <f t="shared" si="18"/>
        <v>0.0016908023483365947</v>
      </c>
      <c r="M55" s="65">
        <f t="shared" si="18"/>
        <v>0.0016908023483365947</v>
      </c>
      <c r="N55" s="65">
        <f t="shared" si="18"/>
        <v>0.0016908023483365947</v>
      </c>
      <c r="O55" s="65">
        <f t="shared" si="18"/>
        <v>0.0016908023483365947</v>
      </c>
    </row>
    <row r="56" spans="1:15" ht="13.5" thickBot="1">
      <c r="A56" s="71"/>
      <c r="E56" s="77"/>
      <c r="F56" s="77"/>
      <c r="G56" s="77"/>
      <c r="H56" s="77"/>
      <c r="I56" s="303"/>
      <c r="J56" s="77"/>
      <c r="K56" s="77"/>
      <c r="L56" s="77"/>
      <c r="M56" s="77"/>
      <c r="N56" s="77"/>
      <c r="O56" s="77"/>
    </row>
    <row r="57" spans="1:15" ht="12.75">
      <c r="A57" s="170"/>
      <c r="B57" s="171" t="s">
        <v>54</v>
      </c>
      <c r="C57" s="172"/>
      <c r="D57" s="172"/>
      <c r="E57" s="173"/>
      <c r="F57" s="173"/>
      <c r="G57" s="173"/>
      <c r="H57" s="173"/>
      <c r="I57" s="304"/>
      <c r="J57" s="173"/>
      <c r="K57" s="173"/>
      <c r="L57" s="173"/>
      <c r="M57" s="173"/>
      <c r="N57" s="173"/>
      <c r="O57" s="174"/>
    </row>
    <row r="58" spans="1:15" ht="12.75">
      <c r="A58" s="175" t="s">
        <v>51</v>
      </c>
      <c r="B58" s="23"/>
      <c r="C58" s="23"/>
      <c r="D58" s="23"/>
      <c r="E58" s="176">
        <f>(E47+E48+E54)*240/365</f>
        <v>0.26706610854119844</v>
      </c>
      <c r="F58" s="176">
        <f aca="true" t="shared" si="19" ref="F58:O58">(F47+F48+F54)*240/365</f>
        <v>0.9314394106202806</v>
      </c>
      <c r="G58" s="176">
        <f t="shared" si="19"/>
        <v>0.608053173972824</v>
      </c>
      <c r="H58" s="176">
        <f t="shared" si="19"/>
        <v>1.8305587491520203</v>
      </c>
      <c r="I58" s="305">
        <f t="shared" si="19"/>
        <v>0.4880746615345751</v>
      </c>
      <c r="J58" s="176">
        <f t="shared" si="19"/>
        <v>0.310151750036288</v>
      </c>
      <c r="K58" s="176">
        <f t="shared" si="19"/>
        <v>1.1441270620130586</v>
      </c>
      <c r="L58" s="176">
        <f t="shared" si="19"/>
        <v>0.8229754986231803</v>
      </c>
      <c r="M58" s="176">
        <f t="shared" si="19"/>
        <v>0.22186600726662134</v>
      </c>
      <c r="N58" s="176">
        <f t="shared" si="19"/>
        <v>1.0776555258300027</v>
      </c>
      <c r="O58" s="177">
        <f t="shared" si="19"/>
        <v>0.22186600726662134</v>
      </c>
    </row>
    <row r="59" spans="1:15" ht="12.75">
      <c r="A59" s="178" t="s">
        <v>39</v>
      </c>
      <c r="B59" s="331" t="s">
        <v>28</v>
      </c>
      <c r="C59" s="331"/>
      <c r="D59" s="331"/>
      <c r="E59" s="179">
        <f>E58/70</f>
        <v>0.0038152301220171205</v>
      </c>
      <c r="F59" s="179">
        <f aca="true" t="shared" si="20" ref="F59:O59">F58/70</f>
        <v>0.013306277294575437</v>
      </c>
      <c r="G59" s="179">
        <f t="shared" si="20"/>
        <v>0.008686473913897486</v>
      </c>
      <c r="H59" s="179">
        <f t="shared" si="20"/>
        <v>0.02615083927360029</v>
      </c>
      <c r="I59" s="306">
        <f t="shared" si="20"/>
        <v>0.006972495164779644</v>
      </c>
      <c r="J59" s="179">
        <f t="shared" si="20"/>
        <v>0.0044307392862326855</v>
      </c>
      <c r="K59" s="179">
        <f t="shared" si="20"/>
        <v>0.016344672314472265</v>
      </c>
      <c r="L59" s="179">
        <f t="shared" si="20"/>
        <v>0.011756792837474004</v>
      </c>
      <c r="M59" s="179">
        <f t="shared" si="20"/>
        <v>0.003169514389523162</v>
      </c>
      <c r="N59" s="179">
        <f t="shared" si="20"/>
        <v>0.01539507894042861</v>
      </c>
      <c r="O59" s="180">
        <f t="shared" si="20"/>
        <v>0.003169514389523162</v>
      </c>
    </row>
    <row r="60" spans="1:15" ht="13.5" thickBot="1">
      <c r="A60" s="37"/>
      <c r="B60" s="39"/>
      <c r="C60" s="38" t="s">
        <v>40</v>
      </c>
      <c r="D60" s="39"/>
      <c r="E60" s="181">
        <f>4.075/E59</f>
        <v>1068.0876040697485</v>
      </c>
      <c r="F60" s="181">
        <f aca="true" t="shared" si="21" ref="F60:O60">4.075/F59</f>
        <v>306.2464361584628</v>
      </c>
      <c r="G60" s="181">
        <f t="shared" si="21"/>
        <v>469.1201562788797</v>
      </c>
      <c r="H60" s="181">
        <f t="shared" si="21"/>
        <v>155.82673876603957</v>
      </c>
      <c r="I60" s="295">
        <f t="shared" si="21"/>
        <v>584.4392722685789</v>
      </c>
      <c r="J60" s="181">
        <f t="shared" si="21"/>
        <v>919.7110768087736</v>
      </c>
      <c r="K60" s="181">
        <f t="shared" si="21"/>
        <v>249.31671443739026</v>
      </c>
      <c r="L60" s="181">
        <f t="shared" si="21"/>
        <v>346.6081316846211</v>
      </c>
      <c r="M60" s="181">
        <f t="shared" si="21"/>
        <v>1285.685912476032</v>
      </c>
      <c r="N60" s="181">
        <f t="shared" si="21"/>
        <v>264.6949727096722</v>
      </c>
      <c r="O60" s="44">
        <f t="shared" si="21"/>
        <v>1285.685912476032</v>
      </c>
    </row>
    <row r="61" spans="3:15" ht="12.75">
      <c r="C61" s="25"/>
      <c r="D61" s="25"/>
      <c r="E61" s="78"/>
      <c r="F61" s="78"/>
      <c r="G61" s="78"/>
      <c r="H61" s="78"/>
      <c r="I61" s="307"/>
      <c r="J61" s="78"/>
      <c r="K61" s="78"/>
      <c r="L61" s="78"/>
      <c r="M61" s="78"/>
      <c r="N61" s="78"/>
      <c r="O61" s="78"/>
    </row>
    <row r="62" spans="1:15" ht="12.75">
      <c r="A62" s="32"/>
      <c r="B62" s="33" t="s">
        <v>55</v>
      </c>
      <c r="C62" s="32"/>
      <c r="D62" s="32"/>
      <c r="E62" s="32"/>
      <c r="F62" s="32"/>
      <c r="G62" s="32"/>
      <c r="H62" s="32"/>
      <c r="I62" s="191"/>
      <c r="J62" s="32"/>
      <c r="K62" s="32"/>
      <c r="L62" s="32"/>
      <c r="M62" s="32"/>
      <c r="N62" s="32"/>
      <c r="O62" s="32"/>
    </row>
    <row r="63" spans="1:15" ht="12.75">
      <c r="A63" t="s">
        <v>8</v>
      </c>
      <c r="B63" t="s">
        <v>29</v>
      </c>
      <c r="E63" s="5">
        <v>2.35</v>
      </c>
      <c r="F63" s="5">
        <v>2.35</v>
      </c>
      <c r="G63" s="5">
        <v>2.35</v>
      </c>
      <c r="H63" s="5">
        <v>2.35</v>
      </c>
      <c r="I63" s="193">
        <v>2.35</v>
      </c>
      <c r="J63" s="5">
        <v>2.35</v>
      </c>
      <c r="K63" s="5">
        <v>2.35</v>
      </c>
      <c r="L63" s="5">
        <v>2.35</v>
      </c>
      <c r="M63" s="5">
        <v>2.35</v>
      </c>
      <c r="N63" s="5">
        <v>2.35</v>
      </c>
      <c r="O63" s="5">
        <v>2.35</v>
      </c>
    </row>
    <row r="64" spans="1:15" ht="12.75">
      <c r="A64" t="s">
        <v>8</v>
      </c>
      <c r="B64" t="s">
        <v>41</v>
      </c>
      <c r="E64" s="3">
        <v>0.093</v>
      </c>
      <c r="F64" s="3">
        <v>0.093</v>
      </c>
      <c r="G64" s="3">
        <v>0.093</v>
      </c>
      <c r="H64" s="3">
        <v>0.093</v>
      </c>
      <c r="I64" s="188">
        <v>0.093</v>
      </c>
      <c r="J64" s="3">
        <v>0.093</v>
      </c>
      <c r="K64" s="3">
        <v>0.093</v>
      </c>
      <c r="L64" s="3">
        <v>0.093</v>
      </c>
      <c r="M64" s="3">
        <v>0.093</v>
      </c>
      <c r="N64" s="3">
        <v>0.093</v>
      </c>
      <c r="O64" s="3">
        <v>0.093</v>
      </c>
    </row>
    <row r="65" spans="1:15" ht="12.75">
      <c r="A65" t="s">
        <v>8</v>
      </c>
      <c r="B65" t="s">
        <v>30</v>
      </c>
      <c r="E65" s="3">
        <v>0.001</v>
      </c>
      <c r="F65" s="3">
        <v>0.001</v>
      </c>
      <c r="G65" s="3">
        <v>0.001</v>
      </c>
      <c r="H65" s="3">
        <v>0.001</v>
      </c>
      <c r="I65" s="188">
        <v>0.001</v>
      </c>
      <c r="J65" s="3">
        <v>0.001</v>
      </c>
      <c r="K65" s="3">
        <v>0.001</v>
      </c>
      <c r="L65" s="3">
        <v>0.001</v>
      </c>
      <c r="M65" s="3">
        <v>0.001</v>
      </c>
      <c r="N65" s="3">
        <v>0.001</v>
      </c>
      <c r="O65" s="3">
        <v>0.001</v>
      </c>
    </row>
    <row r="66" spans="1:15" ht="12.75">
      <c r="A66" t="s">
        <v>8</v>
      </c>
      <c r="B66" t="s">
        <v>31</v>
      </c>
      <c r="E66" s="4">
        <v>0.28</v>
      </c>
      <c r="F66" s="4">
        <v>0.28</v>
      </c>
      <c r="G66" s="4">
        <v>0.28</v>
      </c>
      <c r="H66" s="4">
        <v>0.28</v>
      </c>
      <c r="I66" s="296">
        <v>0.28</v>
      </c>
      <c r="J66" s="4">
        <v>0.28</v>
      </c>
      <c r="K66" s="4">
        <v>0.28</v>
      </c>
      <c r="L66" s="4">
        <v>0.28</v>
      </c>
      <c r="M66" s="4">
        <v>0.28</v>
      </c>
      <c r="N66" s="4">
        <v>0.28</v>
      </c>
      <c r="O66" s="4">
        <v>0.28</v>
      </c>
    </row>
    <row r="67" spans="5:15" ht="12.75">
      <c r="E67" s="25"/>
      <c r="F67" s="25"/>
      <c r="G67" s="25"/>
      <c r="H67" s="25"/>
      <c r="I67" s="297"/>
      <c r="J67" s="25"/>
      <c r="K67" s="25"/>
      <c r="L67" s="25"/>
      <c r="M67" s="25"/>
      <c r="N67" s="25"/>
      <c r="O67" s="25"/>
    </row>
    <row r="68" spans="5:15" ht="12.75">
      <c r="E68" s="28">
        <f aca="true" t="shared" si="22" ref="E68:O68">63.2-15*LN(E18+E63)</f>
        <v>48.63970835267819</v>
      </c>
      <c r="F68" s="28">
        <f t="shared" si="22"/>
        <v>40.402526975334474</v>
      </c>
      <c r="G68" s="28">
        <f t="shared" si="22"/>
        <v>44.36994805678461</v>
      </c>
      <c r="H68" s="28">
        <f t="shared" si="22"/>
        <v>27.84429145591462</v>
      </c>
      <c r="I68" s="298">
        <f t="shared" si="22"/>
        <v>45.889425152367565</v>
      </c>
      <c r="J68" s="28">
        <f t="shared" si="22"/>
        <v>48.10068108431902</v>
      </c>
      <c r="K68" s="28">
        <f t="shared" si="22"/>
        <v>37.79132892423275</v>
      </c>
      <c r="L68" s="28">
        <f t="shared" si="22"/>
        <v>41.72698726016165</v>
      </c>
      <c r="M68" s="28">
        <f t="shared" si="22"/>
        <v>49.19882998426152</v>
      </c>
      <c r="N68" s="28">
        <f t="shared" si="22"/>
        <v>38.612238863551454</v>
      </c>
      <c r="O68" s="28">
        <f t="shared" si="22"/>
        <v>49.19882998426152</v>
      </c>
    </row>
    <row r="69" spans="5:15" ht="12.75">
      <c r="E69" s="18">
        <f aca="true" t="shared" si="23" ref="E69:O69">-0.1167*(E18+E63)</f>
        <v>-0.3080594085</v>
      </c>
      <c r="F69" s="18">
        <f t="shared" si="23"/>
        <v>-0.5334887985</v>
      </c>
      <c r="G69" s="18">
        <f t="shared" si="23"/>
        <v>-0.40950263400000003</v>
      </c>
      <c r="H69" s="18">
        <f t="shared" si="23"/>
        <v>-1.2323199075</v>
      </c>
      <c r="I69" s="285">
        <f t="shared" si="23"/>
        <v>-0.37005249075</v>
      </c>
      <c r="J69" s="18">
        <f t="shared" si="23"/>
        <v>-0.31933087800000004</v>
      </c>
      <c r="K69" s="18">
        <f t="shared" si="23"/>
        <v>-0.634932024</v>
      </c>
      <c r="L69" s="18">
        <f t="shared" si="23"/>
        <v>-0.48840292049999995</v>
      </c>
      <c r="M69" s="18">
        <f t="shared" si="23"/>
        <v>-0.296787939</v>
      </c>
      <c r="N69" s="18">
        <f t="shared" si="23"/>
        <v>-0.6011176154999999</v>
      </c>
      <c r="O69" s="18">
        <f t="shared" si="23"/>
        <v>-0.296787939</v>
      </c>
    </row>
    <row r="70" spans="5:15" ht="12.75">
      <c r="E70" s="28">
        <f>72.9*EXP(E69)</f>
        <v>53.57214394760758</v>
      </c>
      <c r="F70" s="28">
        <f aca="true" t="shared" si="24" ref="F70:O70">72.9*EXP(F69)</f>
        <v>42.75986121656338</v>
      </c>
      <c r="G70" s="28">
        <f t="shared" si="24"/>
        <v>48.40417183831956</v>
      </c>
      <c r="H70" s="28">
        <f t="shared" si="24"/>
        <v>21.258753320407113</v>
      </c>
      <c r="I70" s="298">
        <f t="shared" si="24"/>
        <v>50.35188962564483</v>
      </c>
      <c r="J70" s="28">
        <f t="shared" si="24"/>
        <v>52.971697475117686</v>
      </c>
      <c r="K70" s="28">
        <f t="shared" si="24"/>
        <v>38.63492325663516</v>
      </c>
      <c r="L70" s="28">
        <f t="shared" si="24"/>
        <v>44.731847435004916</v>
      </c>
      <c r="M70" s="28">
        <f t="shared" si="24"/>
        <v>54.17939662007802</v>
      </c>
      <c r="N70" s="28">
        <f t="shared" si="24"/>
        <v>39.9636792759534</v>
      </c>
      <c r="O70" s="28">
        <f t="shared" si="24"/>
        <v>54.17939662007802</v>
      </c>
    </row>
    <row r="71" spans="3:15" ht="12.75">
      <c r="C71" s="14" t="s">
        <v>21</v>
      </c>
      <c r="E71" s="22">
        <f>AVERAGE(E68,E70)</f>
        <v>51.105926150142885</v>
      </c>
      <c r="F71" s="22">
        <f aca="true" t="shared" si="25" ref="F71:O71">AVERAGE(F68,F70)</f>
        <v>41.58119409594893</v>
      </c>
      <c r="G71" s="22">
        <f t="shared" si="25"/>
        <v>46.38705994755209</v>
      </c>
      <c r="H71" s="22">
        <f t="shared" si="25"/>
        <v>24.55152238816087</v>
      </c>
      <c r="I71" s="301">
        <f t="shared" si="25"/>
        <v>48.1206573890062</v>
      </c>
      <c r="J71" s="22">
        <f t="shared" si="25"/>
        <v>50.53618927971836</v>
      </c>
      <c r="K71" s="22">
        <f t="shared" si="25"/>
        <v>38.21312609043396</v>
      </c>
      <c r="L71" s="22">
        <f t="shared" si="25"/>
        <v>43.22941734758328</v>
      </c>
      <c r="M71" s="22">
        <f t="shared" si="25"/>
        <v>51.68911330216977</v>
      </c>
      <c r="N71" s="22">
        <f t="shared" si="25"/>
        <v>39.28795906975243</v>
      </c>
      <c r="O71" s="22">
        <f t="shared" si="25"/>
        <v>51.68911330216977</v>
      </c>
    </row>
    <row r="72" spans="3:15" ht="12.75">
      <c r="C72" s="14"/>
      <c r="E72" s="194"/>
      <c r="F72" s="194"/>
      <c r="G72" s="194"/>
      <c r="H72" s="194"/>
      <c r="I72" s="308"/>
      <c r="J72" s="194"/>
      <c r="K72" s="194"/>
      <c r="L72" s="194"/>
      <c r="M72" s="194"/>
      <c r="N72" s="194"/>
      <c r="O72" s="194"/>
    </row>
    <row r="73" spans="1:15" ht="12.75">
      <c r="A73" s="32"/>
      <c r="B73" s="33" t="s">
        <v>32</v>
      </c>
      <c r="C73" s="32"/>
      <c r="D73" s="32"/>
      <c r="E73" s="32"/>
      <c r="F73" s="32"/>
      <c r="G73" s="32"/>
      <c r="H73" s="32"/>
      <c r="I73" s="191"/>
      <c r="J73" s="32"/>
      <c r="K73" s="32"/>
      <c r="L73" s="32"/>
      <c r="M73" s="32"/>
      <c r="N73" s="32"/>
      <c r="O73" s="32"/>
    </row>
    <row r="74" spans="1:15" ht="12.75">
      <c r="A74" t="s">
        <v>8</v>
      </c>
      <c r="B74" t="s">
        <v>86</v>
      </c>
      <c r="D74" s="20"/>
      <c r="E74" s="26">
        <f>E63*E71/100</f>
        <v>1.2009892645283577</v>
      </c>
      <c r="F74" s="26">
        <f aca="true" t="shared" si="26" ref="F74:O74">F63*F71/100</f>
        <v>0.9771580612547999</v>
      </c>
      <c r="G74" s="26">
        <f t="shared" si="26"/>
        <v>1.0900959087674742</v>
      </c>
      <c r="H74" s="26">
        <f t="shared" si="26"/>
        <v>0.5769607761217804</v>
      </c>
      <c r="I74" s="187">
        <f t="shared" si="26"/>
        <v>1.1308354486416456</v>
      </c>
      <c r="J74" s="26">
        <f t="shared" si="26"/>
        <v>1.1876004480733815</v>
      </c>
      <c r="K74" s="26">
        <f t="shared" si="26"/>
        <v>0.8980084631251981</v>
      </c>
      <c r="L74" s="26">
        <f t="shared" si="26"/>
        <v>1.0158913076682072</v>
      </c>
      <c r="M74" s="26">
        <f t="shared" si="26"/>
        <v>1.2146941626009897</v>
      </c>
      <c r="N74" s="26">
        <f t="shared" si="26"/>
        <v>0.9232670381391821</v>
      </c>
      <c r="O74" s="26">
        <f t="shared" si="26"/>
        <v>1.2146941626009897</v>
      </c>
    </row>
    <row r="75" spans="1:15" ht="12.75">
      <c r="A75" t="s">
        <v>8</v>
      </c>
      <c r="B75" t="s">
        <v>87</v>
      </c>
      <c r="D75" s="21"/>
      <c r="E75" s="3">
        <f>(E64+E65)*1</f>
        <v>0.094</v>
      </c>
      <c r="F75" s="3">
        <f aca="true" t="shared" si="27" ref="F75:O75">(F64+F65)*1</f>
        <v>0.094</v>
      </c>
      <c r="G75" s="3">
        <f t="shared" si="27"/>
        <v>0.094</v>
      </c>
      <c r="H75" s="3">
        <f t="shared" si="27"/>
        <v>0.094</v>
      </c>
      <c r="I75" s="188">
        <f t="shared" si="27"/>
        <v>0.094</v>
      </c>
      <c r="J75" s="3">
        <f t="shared" si="27"/>
        <v>0.094</v>
      </c>
      <c r="K75" s="3">
        <f t="shared" si="27"/>
        <v>0.094</v>
      </c>
      <c r="L75" s="3">
        <f t="shared" si="27"/>
        <v>0.094</v>
      </c>
      <c r="M75" s="3">
        <f t="shared" si="27"/>
        <v>0.094</v>
      </c>
      <c r="N75" s="3">
        <f t="shared" si="27"/>
        <v>0.094</v>
      </c>
      <c r="O75" s="3">
        <f t="shared" si="27"/>
        <v>0.094</v>
      </c>
    </row>
    <row r="76" spans="1:15" ht="12.75">
      <c r="A76" t="s">
        <v>8</v>
      </c>
      <c r="B76" t="s">
        <v>88</v>
      </c>
      <c r="D76" s="7"/>
      <c r="E76" s="27">
        <f>E66*0.3/100</f>
        <v>0.00084</v>
      </c>
      <c r="F76" s="27">
        <f aca="true" t="shared" si="28" ref="F76:O76">F66*0.3/100</f>
        <v>0.00084</v>
      </c>
      <c r="G76" s="27">
        <f t="shared" si="28"/>
        <v>0.00084</v>
      </c>
      <c r="H76" s="27">
        <f t="shared" si="28"/>
        <v>0.00084</v>
      </c>
      <c r="I76" s="189">
        <f t="shared" si="28"/>
        <v>0.00084</v>
      </c>
      <c r="J76" s="27">
        <f t="shared" si="28"/>
        <v>0.00084</v>
      </c>
      <c r="K76" s="27">
        <f t="shared" si="28"/>
        <v>0.00084</v>
      </c>
      <c r="L76" s="27">
        <f t="shared" si="28"/>
        <v>0.00084</v>
      </c>
      <c r="M76" s="27">
        <f t="shared" si="28"/>
        <v>0.00084</v>
      </c>
      <c r="N76" s="27">
        <f t="shared" si="28"/>
        <v>0.00084</v>
      </c>
      <c r="O76" s="27">
        <f t="shared" si="28"/>
        <v>0.00084</v>
      </c>
    </row>
    <row r="77" spans="1:15" ht="12.75">
      <c r="A77" s="41" t="s">
        <v>8</v>
      </c>
      <c r="B77" s="41" t="s">
        <v>89</v>
      </c>
      <c r="C77" s="247"/>
      <c r="D77" s="247"/>
      <c r="E77" s="310">
        <f>SUM(E74:E76)</f>
        <v>1.2958292645283578</v>
      </c>
      <c r="F77" s="310">
        <f aca="true" t="shared" si="29" ref="F77:O77">SUM(F74:F76)</f>
        <v>1.0719980612548</v>
      </c>
      <c r="G77" s="310">
        <f t="shared" si="29"/>
        <v>1.1849359087674742</v>
      </c>
      <c r="H77" s="310">
        <f t="shared" si="29"/>
        <v>0.6718007761217804</v>
      </c>
      <c r="I77" s="311">
        <f t="shared" si="29"/>
        <v>1.2256754486416457</v>
      </c>
      <c r="J77" s="310">
        <f t="shared" si="29"/>
        <v>1.2824404480733815</v>
      </c>
      <c r="K77" s="310">
        <f t="shared" si="29"/>
        <v>0.992848463125198</v>
      </c>
      <c r="L77" s="310">
        <f t="shared" si="29"/>
        <v>1.1107313076682073</v>
      </c>
      <c r="M77" s="310">
        <f t="shared" si="29"/>
        <v>1.3095341626009898</v>
      </c>
      <c r="N77" s="310">
        <f t="shared" si="29"/>
        <v>1.0181070381391821</v>
      </c>
      <c r="O77" s="310">
        <f t="shared" si="29"/>
        <v>1.3095341626009898</v>
      </c>
    </row>
    <row r="78" spans="1:15" ht="12.75">
      <c r="A78" s="24" t="s">
        <v>39</v>
      </c>
      <c r="B78" s="24" t="s">
        <v>89</v>
      </c>
      <c r="E78" s="72">
        <f>E77/70</f>
        <v>0.018511846636119395</v>
      </c>
      <c r="F78" s="72">
        <f aca="true" t="shared" si="30" ref="F78:O78">F77/70</f>
        <v>0.015314258017925714</v>
      </c>
      <c r="G78" s="72">
        <f t="shared" si="30"/>
        <v>0.016927655839535347</v>
      </c>
      <c r="H78" s="72">
        <f t="shared" si="30"/>
        <v>0.009597153944596861</v>
      </c>
      <c r="I78" s="190">
        <f t="shared" si="30"/>
        <v>0.017509649266309223</v>
      </c>
      <c r="J78" s="72">
        <f t="shared" si="30"/>
        <v>0.018320577829619735</v>
      </c>
      <c r="K78" s="72">
        <f t="shared" si="30"/>
        <v>0.014183549473217115</v>
      </c>
      <c r="L78" s="72">
        <f t="shared" si="30"/>
        <v>0.015867590109545818</v>
      </c>
      <c r="M78" s="72">
        <f t="shared" si="30"/>
        <v>0.018707630894299852</v>
      </c>
      <c r="N78" s="72">
        <f t="shared" si="30"/>
        <v>0.014544386259131173</v>
      </c>
      <c r="O78" s="72">
        <f t="shared" si="30"/>
        <v>0.018707630894299852</v>
      </c>
    </row>
    <row r="79" spans="1:15" ht="12.75">
      <c r="A79" s="24"/>
      <c r="B79" s="24"/>
      <c r="E79" s="72"/>
      <c r="F79" s="166"/>
      <c r="G79" s="166"/>
      <c r="H79" s="166"/>
      <c r="I79" s="309"/>
      <c r="J79" s="166"/>
      <c r="K79" s="166"/>
      <c r="L79" s="166"/>
      <c r="M79" s="166"/>
      <c r="N79" s="166"/>
      <c r="O79" s="166"/>
    </row>
    <row r="80" spans="1:15" ht="12.75">
      <c r="A80" t="s">
        <v>8</v>
      </c>
      <c r="B80" t="s">
        <v>90</v>
      </c>
      <c r="E80" s="317">
        <f>E71*E18*(240/365)/(100)</f>
        <v>0.09736897072855662</v>
      </c>
      <c r="F80" s="317">
        <f aca="true" t="shared" si="31" ref="F80:O80">F71*F18*(240/365)/(100)</f>
        <v>0.6073693251315041</v>
      </c>
      <c r="G80" s="317">
        <f t="shared" si="31"/>
        <v>0.35351362336709147</v>
      </c>
      <c r="H80" s="317">
        <f t="shared" si="31"/>
        <v>1.3253342277576592</v>
      </c>
      <c r="I80" s="320">
        <f t="shared" si="31"/>
        <v>0.2597637461805757</v>
      </c>
      <c r="J80" s="317">
        <f t="shared" si="31"/>
        <v>0.1283779815868037</v>
      </c>
      <c r="K80" s="317">
        <f t="shared" si="31"/>
        <v>0.7765878777220344</v>
      </c>
      <c r="L80" s="317">
        <f t="shared" si="31"/>
        <v>0.521628178953273</v>
      </c>
      <c r="M80" s="317">
        <f t="shared" si="31"/>
        <v>0.06565338750628034</v>
      </c>
      <c r="N80" s="317">
        <f t="shared" si="31"/>
        <v>0.7235782900327173</v>
      </c>
      <c r="O80" s="317">
        <f t="shared" si="31"/>
        <v>0.06565338750628034</v>
      </c>
    </row>
    <row r="81" spans="1:15" ht="12.75">
      <c r="A81" t="s">
        <v>8</v>
      </c>
      <c r="B81" t="s">
        <v>91</v>
      </c>
      <c r="E81" s="318">
        <f>E53*0.3*(240/365)/(100)</f>
        <v>0.11835616438356164</v>
      </c>
      <c r="F81" s="318">
        <f aca="true" t="shared" si="32" ref="F81:O81">F53*0.3*(240/365)/(100)</f>
        <v>0.11835616438356164</v>
      </c>
      <c r="G81" s="318">
        <f t="shared" si="32"/>
        <v>0.11835616438356164</v>
      </c>
      <c r="H81" s="318">
        <f t="shared" si="32"/>
        <v>0.11835616438356164</v>
      </c>
      <c r="I81" s="321">
        <f t="shared" si="32"/>
        <v>0.12032876712328766</v>
      </c>
      <c r="J81" s="318">
        <f t="shared" si="32"/>
        <v>0.11835616438356164</v>
      </c>
      <c r="K81" s="318">
        <f t="shared" si="32"/>
        <v>0.11835616438356164</v>
      </c>
      <c r="L81" s="318">
        <f t="shared" si="32"/>
        <v>0.11835616438356164</v>
      </c>
      <c r="M81" s="318">
        <f t="shared" si="32"/>
        <v>0.11835616438356164</v>
      </c>
      <c r="N81" s="318">
        <f t="shared" si="32"/>
        <v>0.11835616438356164</v>
      </c>
      <c r="O81" s="318">
        <f t="shared" si="32"/>
        <v>0.11835616438356164</v>
      </c>
    </row>
    <row r="82" spans="1:15" ht="12.75">
      <c r="A82" t="s">
        <v>8</v>
      </c>
      <c r="B82" t="s">
        <v>92</v>
      </c>
      <c r="E82" s="319">
        <f>E47*(240/365)</f>
        <v>0.0036670684931506855</v>
      </c>
      <c r="F82" s="319">
        <f aca="true" t="shared" si="33" ref="F82:O82">F47*(240/365)</f>
        <v>0.028114191780821918</v>
      </c>
      <c r="G82" s="319">
        <f t="shared" si="33"/>
        <v>0.014668273972602742</v>
      </c>
      <c r="H82" s="319">
        <f t="shared" si="33"/>
        <v>0.10390027397260275</v>
      </c>
      <c r="I82" s="322">
        <f t="shared" si="33"/>
        <v>0.010390027397260275</v>
      </c>
      <c r="J82" s="319">
        <f t="shared" si="33"/>
        <v>0.0048894246575342465</v>
      </c>
      <c r="K82" s="319">
        <f t="shared" si="33"/>
        <v>0.03911539726027397</v>
      </c>
      <c r="L82" s="319">
        <f t="shared" si="33"/>
        <v>0.02322476712328767</v>
      </c>
      <c r="M82" s="319">
        <f t="shared" si="33"/>
        <v>0.0024447123287671233</v>
      </c>
      <c r="N82" s="319">
        <f t="shared" si="33"/>
        <v>0.03544832876712328</v>
      </c>
      <c r="O82" s="319">
        <f t="shared" si="33"/>
        <v>0.0024447123287671233</v>
      </c>
    </row>
    <row r="83" spans="1:15" ht="12.75">
      <c r="A83" s="41" t="s">
        <v>8</v>
      </c>
      <c r="B83" s="41" t="s">
        <v>93</v>
      </c>
      <c r="C83" s="247"/>
      <c r="D83" s="247"/>
      <c r="E83" s="310">
        <f>SUM(E80:E82)</f>
        <v>0.21939220360526895</v>
      </c>
      <c r="F83" s="310">
        <f aca="true" t="shared" si="34" ref="F83:O83">SUM(F80:F82)</f>
        <v>0.7538396812958876</v>
      </c>
      <c r="G83" s="310">
        <f t="shared" si="34"/>
        <v>0.48653806172325587</v>
      </c>
      <c r="H83" s="310">
        <f t="shared" si="34"/>
        <v>1.5475906661138235</v>
      </c>
      <c r="I83" s="311">
        <f t="shared" si="34"/>
        <v>0.3904825407011236</v>
      </c>
      <c r="J83" s="310">
        <f t="shared" si="34"/>
        <v>0.2516235706278996</v>
      </c>
      <c r="K83" s="310">
        <f t="shared" si="34"/>
        <v>0.9340594393658701</v>
      </c>
      <c r="L83" s="310">
        <f t="shared" si="34"/>
        <v>0.6632091104601223</v>
      </c>
      <c r="M83" s="310">
        <f t="shared" si="34"/>
        <v>0.18645426421860908</v>
      </c>
      <c r="N83" s="310">
        <f t="shared" si="34"/>
        <v>0.8773827831834022</v>
      </c>
      <c r="O83" s="310">
        <f t="shared" si="34"/>
        <v>0.18645426421860908</v>
      </c>
    </row>
    <row r="84" spans="1:15" ht="12.75">
      <c r="A84" s="24" t="s">
        <v>39</v>
      </c>
      <c r="B84" s="24" t="s">
        <v>93</v>
      </c>
      <c r="E84" s="72">
        <f aca="true" t="shared" si="35" ref="E84:O84">E83/70</f>
        <v>0.003134174337218128</v>
      </c>
      <c r="F84" s="72">
        <f t="shared" si="35"/>
        <v>0.010769138304226966</v>
      </c>
      <c r="G84" s="72">
        <f t="shared" si="35"/>
        <v>0.006950543738903655</v>
      </c>
      <c r="H84" s="72">
        <f t="shared" si="35"/>
        <v>0.022108438087340334</v>
      </c>
      <c r="I84" s="190">
        <f t="shared" si="35"/>
        <v>0.0055783220100160515</v>
      </c>
      <c r="J84" s="72">
        <f t="shared" si="35"/>
        <v>0.003594622437541423</v>
      </c>
      <c r="K84" s="72">
        <f t="shared" si="35"/>
        <v>0.013343706276655288</v>
      </c>
      <c r="L84" s="72">
        <f t="shared" si="35"/>
        <v>0.009474415863716033</v>
      </c>
      <c r="M84" s="72">
        <f t="shared" si="35"/>
        <v>0.00266363234598013</v>
      </c>
      <c r="N84" s="72">
        <f t="shared" si="35"/>
        <v>0.012534039759762888</v>
      </c>
      <c r="O84" s="72">
        <f t="shared" si="35"/>
        <v>0.00266363234598013</v>
      </c>
    </row>
    <row r="85" ht="13.5" thickBot="1"/>
    <row r="86" spans="1:15" ht="12.75">
      <c r="A86" s="45" t="s">
        <v>8</v>
      </c>
      <c r="B86" s="332" t="s">
        <v>32</v>
      </c>
      <c r="C86" s="333"/>
      <c r="D86" s="333"/>
      <c r="E86" s="312">
        <f>E77+E83</f>
        <v>1.5152214681336267</v>
      </c>
      <c r="F86" s="312">
        <f aca="true" t="shared" si="36" ref="F86:O86">F77+F83</f>
        <v>1.8258377425506875</v>
      </c>
      <c r="G86" s="312">
        <f t="shared" si="36"/>
        <v>1.6714739704907302</v>
      </c>
      <c r="H86" s="312">
        <f t="shared" si="36"/>
        <v>2.2193914422356036</v>
      </c>
      <c r="I86" s="313">
        <f t="shared" si="36"/>
        <v>1.6161579893427693</v>
      </c>
      <c r="J86" s="312">
        <f t="shared" si="36"/>
        <v>1.534064018701281</v>
      </c>
      <c r="K86" s="312">
        <f t="shared" si="36"/>
        <v>1.926907902491068</v>
      </c>
      <c r="L86" s="312">
        <f t="shared" si="36"/>
        <v>1.7739404181283296</v>
      </c>
      <c r="M86" s="312">
        <f t="shared" si="36"/>
        <v>1.4959884268195989</v>
      </c>
      <c r="N86" s="312">
        <f t="shared" si="36"/>
        <v>1.8954898213225844</v>
      </c>
      <c r="O86" s="312">
        <f t="shared" si="36"/>
        <v>1.4959884268195989</v>
      </c>
    </row>
    <row r="87" spans="1:15" ht="12.75">
      <c r="A87" s="36" t="s">
        <v>39</v>
      </c>
      <c r="B87" s="35"/>
      <c r="C87" s="23"/>
      <c r="D87" s="23"/>
      <c r="E87" s="43">
        <f>E86/70</f>
        <v>0.021646020973337524</v>
      </c>
      <c r="F87" s="43">
        <f aca="true" t="shared" si="37" ref="F87:O87">F86/70</f>
        <v>0.026083396322152678</v>
      </c>
      <c r="G87" s="43">
        <f t="shared" si="37"/>
        <v>0.023878199578439004</v>
      </c>
      <c r="H87" s="43">
        <f t="shared" si="37"/>
        <v>0.031705592031937194</v>
      </c>
      <c r="I87" s="81">
        <f t="shared" si="37"/>
        <v>0.023087971276325277</v>
      </c>
      <c r="J87" s="43">
        <f t="shared" si="37"/>
        <v>0.021915200267161157</v>
      </c>
      <c r="K87" s="43">
        <f t="shared" si="37"/>
        <v>0.0275272557498724</v>
      </c>
      <c r="L87" s="43">
        <f t="shared" si="37"/>
        <v>0.02534200597326185</v>
      </c>
      <c r="M87" s="43">
        <f t="shared" si="37"/>
        <v>0.021371263240279985</v>
      </c>
      <c r="N87" s="43">
        <f t="shared" si="37"/>
        <v>0.027078426018894063</v>
      </c>
      <c r="O87" s="43">
        <f t="shared" si="37"/>
        <v>0.021371263240279985</v>
      </c>
    </row>
    <row r="88" spans="2:15" ht="13.5" thickBot="1">
      <c r="B88" s="37"/>
      <c r="C88" s="38" t="s">
        <v>40</v>
      </c>
      <c r="D88" s="39"/>
      <c r="E88" s="44">
        <f>4.075/E87</f>
        <v>188.2563084004852</v>
      </c>
      <c r="F88" s="44">
        <f aca="true" t="shared" si="38" ref="F88:O88">4.075/F87</f>
        <v>156.2296546688245</v>
      </c>
      <c r="G88" s="44">
        <f t="shared" si="38"/>
        <v>170.65775778503632</v>
      </c>
      <c r="H88" s="44">
        <f t="shared" si="38"/>
        <v>128.52622325724855</v>
      </c>
      <c r="I88" s="169">
        <f t="shared" si="38"/>
        <v>176.49883358000193</v>
      </c>
      <c r="J88" s="44">
        <f t="shared" si="38"/>
        <v>185.9440000694945</v>
      </c>
      <c r="K88" s="44">
        <f t="shared" si="38"/>
        <v>148.03509790542375</v>
      </c>
      <c r="L88" s="44">
        <f t="shared" si="38"/>
        <v>160.800214643604</v>
      </c>
      <c r="M88" s="44">
        <f t="shared" si="38"/>
        <v>190.67660877994098</v>
      </c>
      <c r="N88" s="44">
        <f t="shared" si="38"/>
        <v>150.48880600211604</v>
      </c>
      <c r="O88" s="44">
        <f t="shared" si="38"/>
        <v>190.67660877994098</v>
      </c>
    </row>
  </sheetData>
  <sheetProtection/>
  <mergeCells count="2">
    <mergeCell ref="B59:D59"/>
    <mergeCell ref="B86:D8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5.57421875" style="0" customWidth="1"/>
    <col min="2" max="2" width="10.57421875" style="0" bestFit="1" customWidth="1"/>
    <col min="3" max="3" width="16.8515625" style="0" bestFit="1" customWidth="1"/>
    <col min="4" max="4" width="9.421875" style="0" bestFit="1" customWidth="1"/>
    <col min="5" max="5" width="12.57421875" style="0" bestFit="1" customWidth="1"/>
  </cols>
  <sheetData>
    <row r="1" spans="1:7" ht="13.5" thickBot="1">
      <c r="A1" s="93"/>
      <c r="B1" s="340" t="s">
        <v>57</v>
      </c>
      <c r="C1" s="341"/>
      <c r="D1" s="340" t="s">
        <v>33</v>
      </c>
      <c r="E1" s="341"/>
      <c r="F1" s="86"/>
      <c r="G1" s="86"/>
    </row>
    <row r="2" spans="1:7" ht="12.75">
      <c r="A2" s="93"/>
      <c r="B2" s="122" t="s">
        <v>63</v>
      </c>
      <c r="C2" s="155" t="s">
        <v>64</v>
      </c>
      <c r="D2" s="156" t="s">
        <v>63</v>
      </c>
      <c r="E2" s="155" t="s">
        <v>64</v>
      </c>
      <c r="F2" s="86"/>
      <c r="G2" s="86"/>
    </row>
    <row r="3" spans="1:7" ht="13.5" thickBot="1">
      <c r="A3" s="95"/>
      <c r="B3" s="157" t="s">
        <v>71</v>
      </c>
      <c r="C3" s="158" t="s">
        <v>72</v>
      </c>
      <c r="D3" s="159" t="s">
        <v>71</v>
      </c>
      <c r="E3" s="158" t="s">
        <v>72</v>
      </c>
      <c r="F3" s="86"/>
      <c r="G3" s="86"/>
    </row>
    <row r="4" spans="1:7" ht="12.75">
      <c r="A4" s="97" t="s">
        <v>73</v>
      </c>
      <c r="B4" s="98">
        <v>0.24</v>
      </c>
      <c r="C4" s="99">
        <f aca="true" t="shared" si="0" ref="C4:C10">B4*0.3/(100*60)</f>
        <v>1.1999999999999999E-05</v>
      </c>
      <c r="D4" s="100">
        <v>1.44</v>
      </c>
      <c r="E4" s="99">
        <f>D4*0.3/(100*60)</f>
        <v>7.2E-05</v>
      </c>
      <c r="F4" s="86"/>
      <c r="G4" s="86"/>
    </row>
    <row r="5" spans="1:7" ht="13.5" customHeight="1">
      <c r="A5" s="99" t="s">
        <v>74</v>
      </c>
      <c r="B5" s="90">
        <v>4.3E-06</v>
      </c>
      <c r="C5" s="99">
        <f t="shared" si="0"/>
        <v>2.1500000000000003E-10</v>
      </c>
      <c r="D5" s="101">
        <v>1.4E-05</v>
      </c>
      <c r="E5" s="99">
        <f>D5*0.3/(100*60)</f>
        <v>7E-10</v>
      </c>
      <c r="F5" s="86"/>
      <c r="G5" s="86"/>
    </row>
    <row r="6" spans="1:7" ht="12.75">
      <c r="A6" s="99" t="s">
        <v>75</v>
      </c>
      <c r="B6" s="98">
        <v>0</v>
      </c>
      <c r="C6" s="99">
        <f t="shared" si="0"/>
        <v>0</v>
      </c>
      <c r="D6" s="100">
        <v>4.03</v>
      </c>
      <c r="E6" s="99">
        <f>D6*0.3/(100*60)</f>
        <v>0.00020150000000000002</v>
      </c>
      <c r="F6" s="86"/>
      <c r="G6" s="86" t="s">
        <v>76</v>
      </c>
    </row>
    <row r="7" spans="1:7" ht="25.5">
      <c r="A7" s="102" t="s">
        <v>77</v>
      </c>
      <c r="B7" s="103">
        <v>0</v>
      </c>
      <c r="C7" s="102">
        <f t="shared" si="0"/>
        <v>0</v>
      </c>
      <c r="D7" s="104">
        <v>0.0005</v>
      </c>
      <c r="E7" s="102">
        <f>D7*1/(60)</f>
        <v>8.333333333333334E-06</v>
      </c>
      <c r="F7" s="86"/>
      <c r="G7" s="105">
        <f>63.2-15*LN(D10)</f>
        <v>52.802792291600824</v>
      </c>
    </row>
    <row r="8" spans="1:7" ht="12.75">
      <c r="A8" s="99" t="s">
        <v>78</v>
      </c>
      <c r="B8" s="98">
        <v>0.14</v>
      </c>
      <c r="C8" s="99">
        <f t="shared" si="0"/>
        <v>7.000000000000001E-06</v>
      </c>
      <c r="D8" s="100">
        <v>0.28</v>
      </c>
      <c r="E8" s="99">
        <f>D8*0.3/(100*60)</f>
        <v>1.4000000000000001E-05</v>
      </c>
      <c r="F8" s="86"/>
      <c r="G8" s="105">
        <f>-0.1167*(D10)</f>
        <v>-0.2334</v>
      </c>
    </row>
    <row r="9" spans="1:7" ht="12.75">
      <c r="A9" s="99" t="s">
        <v>79</v>
      </c>
      <c r="B9" s="98">
        <v>0</v>
      </c>
      <c r="C9" s="99">
        <f t="shared" si="0"/>
        <v>0</v>
      </c>
      <c r="D9" s="100">
        <v>0.41</v>
      </c>
      <c r="E9" s="99">
        <f>D9*0.3/(100*60)</f>
        <v>2.0499999999999997E-05</v>
      </c>
      <c r="F9" s="86"/>
      <c r="G9" s="105">
        <f>72.9*EXP(G8)</f>
        <v>57.72490093094225</v>
      </c>
    </row>
    <row r="10" spans="1:7" ht="26.25" customHeight="1">
      <c r="A10" s="106" t="s">
        <v>80</v>
      </c>
      <c r="B10" s="107">
        <v>0</v>
      </c>
      <c r="C10" s="106">
        <f t="shared" si="0"/>
        <v>0</v>
      </c>
      <c r="D10" s="108">
        <v>2</v>
      </c>
      <c r="E10" s="109">
        <f>D10*G10/(100*60)</f>
        <v>0.01842128220375718</v>
      </c>
      <c r="F10" s="86"/>
      <c r="G10" s="110">
        <f>AVERAGE(G7,G9)</f>
        <v>55.26384661127153</v>
      </c>
    </row>
    <row r="11" spans="1:7" ht="12.75">
      <c r="A11" s="111"/>
      <c r="B11" s="111"/>
      <c r="C11" s="111"/>
      <c r="D11" s="111"/>
      <c r="E11" s="112"/>
      <c r="F11" s="86"/>
      <c r="G11" s="113"/>
    </row>
    <row r="12" spans="1:7" ht="12.75">
      <c r="A12" s="111" t="s">
        <v>81</v>
      </c>
      <c r="C12" s="98">
        <f>SUM(C4,C5,C8)</f>
        <v>1.9000215E-05</v>
      </c>
      <c r="D12" s="111"/>
      <c r="E12" s="114">
        <f>SUM(E4,E5,E6,E8,E9)</f>
        <v>0.00030800070000000003</v>
      </c>
      <c r="F12" s="86"/>
      <c r="G12" s="113"/>
    </row>
    <row r="13" spans="1:7" ht="12.75">
      <c r="A13" s="111" t="s">
        <v>82</v>
      </c>
      <c r="C13" s="103">
        <v>0</v>
      </c>
      <c r="D13" s="111"/>
      <c r="E13" s="115">
        <f>E7</f>
        <v>8.333333333333334E-06</v>
      </c>
      <c r="F13" s="86"/>
      <c r="G13" s="113"/>
    </row>
    <row r="14" spans="1:7" ht="12.75">
      <c r="A14" s="111" t="s">
        <v>83</v>
      </c>
      <c r="C14" s="107">
        <v>0</v>
      </c>
      <c r="D14" s="111"/>
      <c r="E14" s="116">
        <f>E10</f>
        <v>0.01842128220375718</v>
      </c>
      <c r="F14" s="86"/>
      <c r="G14" s="113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117" t="s">
        <v>84</v>
      </c>
      <c r="B16" s="86"/>
      <c r="C16" s="118">
        <f>SUM(C4:C10)</f>
        <v>1.9000215E-05</v>
      </c>
      <c r="D16" s="86"/>
      <c r="E16" s="119">
        <f>SUM(E4:E10)</f>
        <v>0.018737616237090512</v>
      </c>
      <c r="F16" s="86"/>
      <c r="G16" s="86"/>
    </row>
    <row r="17" spans="1:7" ht="12.75">
      <c r="A17" s="86" t="s">
        <v>85</v>
      </c>
      <c r="B17" s="86"/>
      <c r="C17" s="86">
        <v>4.075</v>
      </c>
      <c r="D17" s="86"/>
      <c r="E17" s="86">
        <v>4.075</v>
      </c>
      <c r="F17" s="86"/>
      <c r="G17" s="86"/>
    </row>
    <row r="18" spans="1:7" ht="12.75">
      <c r="A18" s="120" t="s">
        <v>62</v>
      </c>
      <c r="B18" s="86"/>
      <c r="C18" s="121">
        <f>C17/C16</f>
        <v>214471.25729893058</v>
      </c>
      <c r="D18" s="86"/>
      <c r="E18" s="121">
        <f>E17/E16</f>
        <v>217.47696977236987</v>
      </c>
      <c r="F18" s="86"/>
      <c r="G18" s="86"/>
    </row>
  </sheetData>
  <sheetProtection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4.140625" style="0" customWidth="1"/>
    <col min="3" max="3" width="12.28125" style="0" bestFit="1" customWidth="1"/>
    <col min="8" max="8" width="9.28125" style="0" bestFit="1" customWidth="1"/>
  </cols>
  <sheetData>
    <row r="1" spans="1:11" ht="12.75">
      <c r="A1" s="129"/>
      <c r="B1" s="132" t="s">
        <v>57</v>
      </c>
      <c r="C1" s="129"/>
      <c r="D1" s="35"/>
      <c r="E1" s="129"/>
      <c r="F1" s="35"/>
      <c r="G1" s="129"/>
      <c r="H1" s="143"/>
      <c r="K1" s="85" t="s">
        <v>33</v>
      </c>
    </row>
    <row r="2" spans="1:18" ht="13.5" thickBot="1">
      <c r="A2" s="36"/>
      <c r="B2" s="334" t="s">
        <v>58</v>
      </c>
      <c r="C2" s="335"/>
      <c r="D2" s="334" t="s">
        <v>59</v>
      </c>
      <c r="E2" s="335"/>
      <c r="F2" s="338" t="s">
        <v>60</v>
      </c>
      <c r="G2" s="339"/>
      <c r="H2" s="160" t="s">
        <v>61</v>
      </c>
      <c r="I2" s="145" t="s">
        <v>62</v>
      </c>
      <c r="J2" s="23"/>
      <c r="K2" s="336" t="s">
        <v>58</v>
      </c>
      <c r="L2" s="336"/>
      <c r="M2" s="334" t="s">
        <v>59</v>
      </c>
      <c r="N2" s="335"/>
      <c r="O2" s="337" t="s">
        <v>60</v>
      </c>
      <c r="P2" s="337"/>
      <c r="Q2" s="160" t="s">
        <v>61</v>
      </c>
      <c r="R2" s="145" t="s">
        <v>62</v>
      </c>
    </row>
    <row r="3" spans="1:18" ht="12.75">
      <c r="A3" s="129"/>
      <c r="B3" s="133" t="s">
        <v>63</v>
      </c>
      <c r="C3" s="134" t="s">
        <v>64</v>
      </c>
      <c r="D3" s="136" t="s">
        <v>63</v>
      </c>
      <c r="E3" s="137" t="s">
        <v>64</v>
      </c>
      <c r="F3" s="138" t="s">
        <v>63</v>
      </c>
      <c r="G3" s="139" t="s">
        <v>64</v>
      </c>
      <c r="H3" s="161" t="s">
        <v>64</v>
      </c>
      <c r="I3" s="126"/>
      <c r="J3" s="126"/>
      <c r="K3" s="123" t="s">
        <v>63</v>
      </c>
      <c r="L3" s="123" t="s">
        <v>64</v>
      </c>
      <c r="M3" s="136" t="s">
        <v>63</v>
      </c>
      <c r="N3" s="137" t="s">
        <v>64</v>
      </c>
      <c r="O3" s="124" t="s">
        <v>63</v>
      </c>
      <c r="P3" s="125" t="s">
        <v>64</v>
      </c>
      <c r="Q3" s="161" t="s">
        <v>64</v>
      </c>
      <c r="R3" s="94"/>
    </row>
    <row r="4" spans="1:18" ht="13.5" thickBot="1">
      <c r="A4" s="130"/>
      <c r="B4" s="146" t="s">
        <v>65</v>
      </c>
      <c r="C4" s="147" t="s">
        <v>66</v>
      </c>
      <c r="D4" s="148" t="s">
        <v>65</v>
      </c>
      <c r="E4" s="149" t="s">
        <v>66</v>
      </c>
      <c r="F4" s="150" t="s">
        <v>65</v>
      </c>
      <c r="G4" s="151" t="s">
        <v>66</v>
      </c>
      <c r="H4" s="162" t="s">
        <v>66</v>
      </c>
      <c r="I4" s="152"/>
      <c r="J4" s="126"/>
      <c r="K4" s="153" t="s">
        <v>65</v>
      </c>
      <c r="L4" s="153" t="s">
        <v>66</v>
      </c>
      <c r="M4" s="148" t="s">
        <v>65</v>
      </c>
      <c r="N4" s="149" t="s">
        <v>66</v>
      </c>
      <c r="O4" s="154" t="s">
        <v>65</v>
      </c>
      <c r="P4" s="154" t="s">
        <v>66</v>
      </c>
      <c r="Q4" s="162" t="s">
        <v>66</v>
      </c>
      <c r="R4" s="96"/>
    </row>
    <row r="5" spans="1:18" ht="25.5">
      <c r="A5" s="239" t="s">
        <v>67</v>
      </c>
      <c r="B5" s="135">
        <v>0</v>
      </c>
      <c r="C5" s="87">
        <f>B5*1/(60)</f>
        <v>0</v>
      </c>
      <c r="D5" s="101">
        <v>0.38</v>
      </c>
      <c r="E5" s="88">
        <f>D5*0.3/(100*60)</f>
        <v>1.8999999999999998E-05</v>
      </c>
      <c r="F5" s="140">
        <v>0</v>
      </c>
      <c r="G5" s="141">
        <v>0</v>
      </c>
      <c r="H5" s="164">
        <f>C5+E5+G5</f>
        <v>1.8999999999999998E-05</v>
      </c>
      <c r="I5" s="127">
        <f aca="true" t="shared" si="0" ref="I5:I13">4.075/H5</f>
        <v>214473.68421052635</v>
      </c>
      <c r="J5" s="126"/>
      <c r="K5" s="89">
        <v>0.0005</v>
      </c>
      <c r="L5" s="89">
        <f>K5*1/(60)</f>
        <v>8.333333333333334E-06</v>
      </c>
      <c r="M5" s="101">
        <v>6.16</v>
      </c>
      <c r="N5" s="88">
        <f>M5*0.3/(100*60)</f>
        <v>0.00030799999999999995</v>
      </c>
      <c r="O5" s="91">
        <v>0</v>
      </c>
      <c r="P5" s="128">
        <v>0</v>
      </c>
      <c r="Q5" s="163">
        <f aca="true" t="shared" si="1" ref="Q5:Q13">L5+N5+P5</f>
        <v>0.0003163333333333333</v>
      </c>
      <c r="R5" s="127">
        <f aca="true" t="shared" si="2" ref="R5:R13">4.075/Q5</f>
        <v>12881.981032665966</v>
      </c>
    </row>
    <row r="6" spans="1:18" ht="25.5" customHeight="1">
      <c r="A6" s="345" t="s">
        <v>68</v>
      </c>
      <c r="B6" s="135">
        <v>0.002</v>
      </c>
      <c r="C6" s="87">
        <f>B6*1/(60)</f>
        <v>3.3333333333333335E-05</v>
      </c>
      <c r="D6" s="101">
        <v>0</v>
      </c>
      <c r="E6" s="88">
        <f>D6*0.3/(100*60)</f>
        <v>0</v>
      </c>
      <c r="F6" s="140">
        <v>1.2</v>
      </c>
      <c r="G6" s="142">
        <f>F6*D18/(100*60)</f>
        <v>0.01238388570107495</v>
      </c>
      <c r="H6" s="164">
        <f>C6+E6+G6</f>
        <v>0.012417219034408284</v>
      </c>
      <c r="I6" s="127">
        <f t="shared" si="0"/>
        <v>328.17332034718237</v>
      </c>
      <c r="J6" s="126"/>
      <c r="K6" s="89">
        <v>0.002</v>
      </c>
      <c r="L6" s="89">
        <f>K6*1/(60)</f>
        <v>3.3333333333333335E-05</v>
      </c>
      <c r="M6" s="101">
        <v>0</v>
      </c>
      <c r="N6" s="88">
        <f>M6*0.3/(100*60)</f>
        <v>0</v>
      </c>
      <c r="O6" s="91">
        <v>2</v>
      </c>
      <c r="P6" s="128">
        <f>O6*N18/(100*60)</f>
        <v>0.01842128220375718</v>
      </c>
      <c r="Q6" s="164">
        <f t="shared" si="1"/>
        <v>0.01845461553709051</v>
      </c>
      <c r="R6" s="127">
        <f t="shared" si="2"/>
        <v>220.8119693314646</v>
      </c>
    </row>
    <row r="7" spans="1:18" ht="13.5" thickBot="1">
      <c r="A7" s="346"/>
      <c r="B7" s="135">
        <v>0.002</v>
      </c>
      <c r="C7" s="87">
        <f>B7*1/(60)</f>
        <v>3.3333333333333335E-05</v>
      </c>
      <c r="D7" s="101">
        <v>0</v>
      </c>
      <c r="E7" s="88">
        <f>D7*0.3/(100*60)</f>
        <v>0</v>
      </c>
      <c r="F7" s="140">
        <v>4.3</v>
      </c>
      <c r="G7" s="142">
        <f>F7*D19/(100*60)</f>
        <v>0.030622056199915298</v>
      </c>
      <c r="H7" s="164">
        <f>C7+E7+G7</f>
        <v>0.03065538953324863</v>
      </c>
      <c r="I7" s="127">
        <f t="shared" si="0"/>
        <v>132.92931722757208</v>
      </c>
      <c r="J7" s="126"/>
      <c r="K7" s="89">
        <v>0.002</v>
      </c>
      <c r="L7" s="89">
        <f>K7*1/(60)</f>
        <v>3.3333333333333335E-05</v>
      </c>
      <c r="M7" s="101">
        <v>0</v>
      </c>
      <c r="N7" s="88">
        <f>M7*0.3/(100*60)</f>
        <v>0</v>
      </c>
      <c r="O7" s="91">
        <v>5.1</v>
      </c>
      <c r="P7" s="128">
        <f>O7*N19/(100*60)</f>
        <v>0.03355947390931499</v>
      </c>
      <c r="Q7" s="164">
        <f t="shared" si="1"/>
        <v>0.03359280724264833</v>
      </c>
      <c r="R7" s="127">
        <f t="shared" si="2"/>
        <v>121.3057298416702</v>
      </c>
    </row>
    <row r="8" spans="1:18" ht="12.75">
      <c r="A8" s="343" t="s">
        <v>94</v>
      </c>
      <c r="B8" s="212">
        <f>B5+B6</f>
        <v>0.002</v>
      </c>
      <c r="C8" s="213">
        <f>C5+C6</f>
        <v>3.3333333333333335E-05</v>
      </c>
      <c r="D8" s="226">
        <f>D5+D6</f>
        <v>0.38</v>
      </c>
      <c r="E8" s="214">
        <f>E5+E6</f>
        <v>1.8999999999999998E-05</v>
      </c>
      <c r="F8" s="242">
        <f>F5+F6</f>
        <v>1.2</v>
      </c>
      <c r="G8" s="227">
        <f aca="true" t="shared" si="3" ref="G8:P8">G5+G6</f>
        <v>0.01238388570107495</v>
      </c>
      <c r="H8" s="228">
        <f t="shared" si="3"/>
        <v>0.012436219034408284</v>
      </c>
      <c r="I8" s="215">
        <f t="shared" si="0"/>
        <v>327.67193861135536</v>
      </c>
      <c r="J8" s="216"/>
      <c r="K8" s="217">
        <f t="shared" si="3"/>
        <v>0.0025</v>
      </c>
      <c r="L8" s="213">
        <f t="shared" si="3"/>
        <v>4.166666666666667E-05</v>
      </c>
      <c r="M8" s="226">
        <f t="shared" si="3"/>
        <v>6.16</v>
      </c>
      <c r="N8" s="214">
        <f t="shared" si="3"/>
        <v>0.00030799999999999995</v>
      </c>
      <c r="O8" s="242">
        <f t="shared" si="3"/>
        <v>2</v>
      </c>
      <c r="P8" s="227">
        <f t="shared" si="3"/>
        <v>0.01842128220375718</v>
      </c>
      <c r="Q8" s="218">
        <f t="shared" si="1"/>
        <v>0.018770948870423847</v>
      </c>
      <c r="R8" s="215">
        <f t="shared" si="2"/>
        <v>217.09078364284028</v>
      </c>
    </row>
    <row r="9" spans="1:18" ht="13.5" thickBot="1">
      <c r="A9" s="344"/>
      <c r="B9" s="219">
        <f>B5+B7</f>
        <v>0.002</v>
      </c>
      <c r="C9" s="220">
        <f>C5+C7</f>
        <v>3.3333333333333335E-05</v>
      </c>
      <c r="D9" s="230">
        <f>D5+D7</f>
        <v>0.38</v>
      </c>
      <c r="E9" s="221">
        <f>E5+E7</f>
        <v>1.8999999999999998E-05</v>
      </c>
      <c r="F9" s="243">
        <f>F5+F7</f>
        <v>4.3</v>
      </c>
      <c r="G9" s="231">
        <f aca="true" t="shared" si="4" ref="G9:P9">G5+G7</f>
        <v>0.030622056199915298</v>
      </c>
      <c r="H9" s="232">
        <f t="shared" si="4"/>
        <v>0.030674389533248633</v>
      </c>
      <c r="I9" s="222">
        <f t="shared" si="0"/>
        <v>132.84697958155027</v>
      </c>
      <c r="J9" s="223"/>
      <c r="K9" s="224">
        <f t="shared" si="4"/>
        <v>0.0025</v>
      </c>
      <c r="L9" s="220">
        <f t="shared" si="4"/>
        <v>4.166666666666667E-05</v>
      </c>
      <c r="M9" s="230">
        <f t="shared" si="4"/>
        <v>6.16</v>
      </c>
      <c r="N9" s="221">
        <f t="shared" si="4"/>
        <v>0.00030799999999999995</v>
      </c>
      <c r="O9" s="243">
        <f t="shared" si="4"/>
        <v>5.1</v>
      </c>
      <c r="P9" s="231">
        <f t="shared" si="4"/>
        <v>0.03355947390931499</v>
      </c>
      <c r="Q9" s="225">
        <f t="shared" si="1"/>
        <v>0.033909140575981656</v>
      </c>
      <c r="R9" s="222">
        <f t="shared" si="2"/>
        <v>120.17408671473032</v>
      </c>
    </row>
    <row r="10" spans="1:18" ht="16.5" customHeight="1">
      <c r="A10" s="347" t="s">
        <v>69</v>
      </c>
      <c r="B10" s="135">
        <v>0.057</v>
      </c>
      <c r="C10" s="87">
        <f>B10*1/(60)</f>
        <v>0.00095</v>
      </c>
      <c r="D10" s="101">
        <v>0</v>
      </c>
      <c r="E10" s="88">
        <f>D10*0.3/(100*60)</f>
        <v>0</v>
      </c>
      <c r="F10" s="140">
        <v>1.34</v>
      </c>
      <c r="G10" s="142">
        <f>F10*D20/(100*60)</f>
        <v>0.013529159167784115</v>
      </c>
      <c r="H10" s="164">
        <f>C10+E10+G10</f>
        <v>0.014479159167784115</v>
      </c>
      <c r="I10" s="127">
        <f t="shared" si="0"/>
        <v>281.43899468049267</v>
      </c>
      <c r="J10" s="126"/>
      <c r="K10" s="89">
        <v>0.093</v>
      </c>
      <c r="L10" s="89">
        <f>K10*1/(60)</f>
        <v>0.00155</v>
      </c>
      <c r="M10" s="101">
        <v>0</v>
      </c>
      <c r="N10" s="88">
        <f>M10*0.3/(100*60)</f>
        <v>0</v>
      </c>
      <c r="O10" s="91">
        <v>2.25</v>
      </c>
      <c r="P10" s="128">
        <f>O10*N20/(100*60)</f>
        <v>0.020081466314722064</v>
      </c>
      <c r="Q10" s="164">
        <f t="shared" si="1"/>
        <v>0.021631466314722063</v>
      </c>
      <c r="R10" s="127">
        <f t="shared" si="2"/>
        <v>188.38297601797868</v>
      </c>
    </row>
    <row r="11" spans="1:18" ht="20.25" customHeight="1" thickBot="1">
      <c r="A11" s="346"/>
      <c r="B11" s="135">
        <v>0.057</v>
      </c>
      <c r="C11" s="87">
        <f>B11*1/(60)</f>
        <v>0.00095</v>
      </c>
      <c r="D11" s="101">
        <v>0</v>
      </c>
      <c r="E11" s="88">
        <f>D11*0.3/(100*60)</f>
        <v>0</v>
      </c>
      <c r="F11" s="140">
        <v>4.44</v>
      </c>
      <c r="G11" s="142">
        <f>F11*D21/(100*60)</f>
        <v>0.03117659714617044</v>
      </c>
      <c r="H11" s="164">
        <f>C11+E11+G11</f>
        <v>0.032126597146170444</v>
      </c>
      <c r="I11" s="127">
        <f t="shared" si="0"/>
        <v>126.84194287553883</v>
      </c>
      <c r="J11" s="126"/>
      <c r="K11" s="89">
        <v>0.093</v>
      </c>
      <c r="L11" s="89">
        <f>K11*1/(60)</f>
        <v>0.00155</v>
      </c>
      <c r="M11" s="101">
        <v>0</v>
      </c>
      <c r="N11" s="88">
        <f>M11*0.3/(100*60)</f>
        <v>0</v>
      </c>
      <c r="O11" s="91">
        <v>5.35</v>
      </c>
      <c r="P11" s="128">
        <f>O11*N21/(100*60)</f>
        <v>0.03436914746776983</v>
      </c>
      <c r="Q11" s="164">
        <f t="shared" si="1"/>
        <v>0.035919147467769835</v>
      </c>
      <c r="R11" s="127">
        <f t="shared" si="2"/>
        <v>113.44924051041266</v>
      </c>
    </row>
    <row r="12" spans="1:18" ht="12.75">
      <c r="A12" s="342" t="s">
        <v>95</v>
      </c>
      <c r="B12" s="212">
        <f>B5+B10</f>
        <v>0.057</v>
      </c>
      <c r="C12" s="213">
        <f>C5+C10</f>
        <v>0.00095</v>
      </c>
      <c r="D12" s="226">
        <f>D5+D10</f>
        <v>0.38</v>
      </c>
      <c r="E12" s="214">
        <f>E5+E10</f>
        <v>1.8999999999999998E-05</v>
      </c>
      <c r="F12" s="242">
        <f>F5+F10</f>
        <v>1.34</v>
      </c>
      <c r="G12" s="235">
        <f>F12*D22/(100*60)</f>
        <v>0.013529159167784115</v>
      </c>
      <c r="H12" s="237">
        <f>C12+E12+G12</f>
        <v>0.014498159167784115</v>
      </c>
      <c r="I12" s="215">
        <f t="shared" si="0"/>
        <v>281.07016572524077</v>
      </c>
      <c r="J12" s="216"/>
      <c r="K12" s="229">
        <f>K5+K10</f>
        <v>0.0935</v>
      </c>
      <c r="L12" s="244">
        <f>L5+L10</f>
        <v>0.0015583333333333332</v>
      </c>
      <c r="M12" s="226">
        <f>M5+M10</f>
        <v>6.16</v>
      </c>
      <c r="N12" s="214">
        <f>N5+N10</f>
        <v>0.00030799999999999995</v>
      </c>
      <c r="O12" s="240">
        <f>O5+O10</f>
        <v>2.25</v>
      </c>
      <c r="P12" s="235">
        <f>O12*N22/(100*60)</f>
        <v>0.020081466314722064</v>
      </c>
      <c r="Q12" s="218">
        <f t="shared" si="1"/>
        <v>0.021947799648055398</v>
      </c>
      <c r="R12" s="215">
        <f t="shared" si="2"/>
        <v>185.667814785299</v>
      </c>
    </row>
    <row r="13" spans="1:18" ht="13.5" thickBot="1">
      <c r="A13" s="341"/>
      <c r="B13" s="219">
        <f>B5+B11</f>
        <v>0.057</v>
      </c>
      <c r="C13" s="220">
        <f>C5+C11</f>
        <v>0.00095</v>
      </c>
      <c r="D13" s="230">
        <f>D5+D11</f>
        <v>0.38</v>
      </c>
      <c r="E13" s="221">
        <f>E5+E11</f>
        <v>1.8999999999999998E-05</v>
      </c>
      <c r="F13" s="243">
        <f>F5+F11</f>
        <v>4.44</v>
      </c>
      <c r="G13" s="236">
        <f>F13*D23/(100*60)</f>
        <v>0.03117659714617044</v>
      </c>
      <c r="H13" s="238">
        <f>C13+E13+G13</f>
        <v>0.03214559714617044</v>
      </c>
      <c r="I13" s="222">
        <f t="shared" si="0"/>
        <v>126.76697158464395</v>
      </c>
      <c r="J13" s="223"/>
      <c r="K13" s="234">
        <f>K5+K11</f>
        <v>0.0935</v>
      </c>
      <c r="L13" s="245">
        <f>L5+L11</f>
        <v>0.0015583333333333332</v>
      </c>
      <c r="M13" s="230">
        <f>M5+M11</f>
        <v>6.16</v>
      </c>
      <c r="N13" s="221">
        <f>N5+N11</f>
        <v>0.00030799999999999995</v>
      </c>
      <c r="O13" s="241">
        <f>O5+O11</f>
        <v>5.35</v>
      </c>
      <c r="P13" s="236">
        <f>O13*N23/(100*60)</f>
        <v>0.03436914746776983</v>
      </c>
      <c r="Q13" s="225">
        <f t="shared" si="1"/>
        <v>0.03623548080110316</v>
      </c>
      <c r="R13" s="222">
        <f t="shared" si="2"/>
        <v>112.45883619890976</v>
      </c>
    </row>
    <row r="16" spans="1:11" ht="12.75">
      <c r="A16" t="s">
        <v>70</v>
      </c>
      <c r="K16" t="s">
        <v>70</v>
      </c>
    </row>
    <row r="17" spans="1:14" ht="12.75">
      <c r="A17" s="18" t="e">
        <f>63.2-15*LN(F5)</f>
        <v>#NUM!</v>
      </c>
      <c r="B17" s="18">
        <f>-0.1167*(F5)</f>
        <v>0</v>
      </c>
      <c r="C17" s="18">
        <f aca="true" t="shared" si="5" ref="C17:C23">72.9*EXP(B17)</f>
        <v>72.9</v>
      </c>
      <c r="D17" s="92" t="e">
        <f aca="true" t="shared" si="6" ref="D17:D23">AVERAGE(A17,C17)</f>
        <v>#NUM!</v>
      </c>
      <c r="K17" s="18" t="e">
        <f>63.2-15*LN(O5)</f>
        <v>#NUM!</v>
      </c>
      <c r="L17" s="18">
        <f>-0.1167*(O5)</f>
        <v>0</v>
      </c>
      <c r="M17" s="18">
        <f aca="true" t="shared" si="7" ref="M17:M23">72.9*EXP(L17)</f>
        <v>72.9</v>
      </c>
      <c r="N17" s="92" t="e">
        <f aca="true" t="shared" si="8" ref="N17:N23">AVERAGE(K17,M17)</f>
        <v>#NUM!</v>
      </c>
    </row>
    <row r="18" spans="1:14" ht="12.75">
      <c r="A18" s="18">
        <f>63.2-15*LN(F6)</f>
        <v>60.46517664809068</v>
      </c>
      <c r="B18" s="18">
        <f>-0.1167*(F6)</f>
        <v>-0.14004</v>
      </c>
      <c r="C18" s="18">
        <f t="shared" si="5"/>
        <v>63.373680362658824</v>
      </c>
      <c r="D18" s="92">
        <f t="shared" si="6"/>
        <v>61.91942850537475</v>
      </c>
      <c r="K18" s="18">
        <f>63.2-15*LN(O6)</f>
        <v>52.802792291600824</v>
      </c>
      <c r="L18" s="18">
        <f>-0.1167*(O6)</f>
        <v>-0.2334</v>
      </c>
      <c r="M18" s="18">
        <f t="shared" si="7"/>
        <v>57.72490093094225</v>
      </c>
      <c r="N18" s="92">
        <f t="shared" si="8"/>
        <v>55.26384661127153</v>
      </c>
    </row>
    <row r="19" spans="1:14" ht="12.75">
      <c r="A19" s="18">
        <f>63.2-15*LN(F7)</f>
        <v>41.32077465950725</v>
      </c>
      <c r="B19" s="18">
        <f>-0.1167*(F7)</f>
        <v>-0.50181</v>
      </c>
      <c r="C19" s="18">
        <f t="shared" si="5"/>
        <v>44.13612636351219</v>
      </c>
      <c r="D19" s="92">
        <f t="shared" si="6"/>
        <v>42.72845051150972</v>
      </c>
      <c r="K19" s="18">
        <f>63.2-15*LN(O7)</f>
        <v>38.7613919040458</v>
      </c>
      <c r="L19" s="18">
        <f>-0.1167*(O7)</f>
        <v>-0.59517</v>
      </c>
      <c r="M19" s="18">
        <f t="shared" si="7"/>
        <v>40.20207611787183</v>
      </c>
      <c r="N19" s="92">
        <f t="shared" si="8"/>
        <v>39.48173401095882</v>
      </c>
    </row>
    <row r="20" spans="1:14" ht="12.75">
      <c r="A20" s="18">
        <f>63.2-15*LN(F10)</f>
        <v>58.8099557905577</v>
      </c>
      <c r="B20" s="18">
        <f>-0.1167*(F10)</f>
        <v>-0.15637800000000002</v>
      </c>
      <c r="C20" s="18">
        <f t="shared" si="5"/>
        <v>62.346693473180636</v>
      </c>
      <c r="D20" s="92">
        <f t="shared" si="6"/>
        <v>60.578324631869165</v>
      </c>
      <c r="K20" s="18">
        <f>63.2-15*LN(O10)</f>
        <v>51.03604675675507</v>
      </c>
      <c r="L20" s="18">
        <f>-0.1167*(O10)</f>
        <v>-0.262575</v>
      </c>
      <c r="M20" s="18">
        <f t="shared" si="7"/>
        <v>56.065106921762606</v>
      </c>
      <c r="N20" s="92">
        <f t="shared" si="8"/>
        <v>53.55057683925884</v>
      </c>
    </row>
    <row r="21" spans="1:14" ht="12.75">
      <c r="A21" s="18">
        <f>63.2-15*LN(F11)</f>
        <v>40.840184353338</v>
      </c>
      <c r="B21" s="18">
        <f>-0.1167*(F11)</f>
        <v>-0.518148</v>
      </c>
      <c r="C21" s="18">
        <f t="shared" si="5"/>
        <v>43.420889014690204</v>
      </c>
      <c r="D21" s="92">
        <f t="shared" si="6"/>
        <v>42.1305366840141</v>
      </c>
      <c r="K21" s="18">
        <f>63.2-15*LN(O11)</f>
        <v>38.04355158638128</v>
      </c>
      <c r="L21" s="18">
        <f>-0.1167*(O11)</f>
        <v>-0.6243449999999999</v>
      </c>
      <c r="M21" s="18">
        <f t="shared" si="7"/>
        <v>39.04612497684078</v>
      </c>
      <c r="N21" s="92">
        <f t="shared" si="8"/>
        <v>38.54483828161103</v>
      </c>
    </row>
    <row r="22" spans="1:14" ht="12.75">
      <c r="A22" s="18">
        <f>63.2-15*LN(F12)</f>
        <v>58.8099557905577</v>
      </c>
      <c r="B22" s="18">
        <f>-0.1167*(F12)</f>
        <v>-0.15637800000000002</v>
      </c>
      <c r="C22" s="18">
        <f t="shared" si="5"/>
        <v>62.346693473180636</v>
      </c>
      <c r="D22" s="92">
        <f t="shared" si="6"/>
        <v>60.578324631869165</v>
      </c>
      <c r="K22" s="18">
        <f>63.2-15*LN(O12)</f>
        <v>51.03604675675507</v>
      </c>
      <c r="L22" s="18">
        <f>-0.1167*(O12)</f>
        <v>-0.262575</v>
      </c>
      <c r="M22" s="18">
        <f t="shared" si="7"/>
        <v>56.065106921762606</v>
      </c>
      <c r="N22" s="92">
        <f t="shared" si="8"/>
        <v>53.55057683925884</v>
      </c>
    </row>
    <row r="23" spans="1:14" ht="12.75">
      <c r="A23" s="18">
        <f>63.2-15*LN(F13)</f>
        <v>40.840184353338</v>
      </c>
      <c r="B23" s="18">
        <f>-0.1167*(F13)</f>
        <v>-0.518148</v>
      </c>
      <c r="C23" s="18">
        <f t="shared" si="5"/>
        <v>43.420889014690204</v>
      </c>
      <c r="D23" s="92">
        <f t="shared" si="6"/>
        <v>42.1305366840141</v>
      </c>
      <c r="K23" s="18">
        <f>63.2-15*LN(O13)</f>
        <v>38.04355158638128</v>
      </c>
      <c r="L23" s="18">
        <f>-0.1167*(O13)</f>
        <v>-0.6243449999999999</v>
      </c>
      <c r="M23" s="18">
        <f t="shared" si="7"/>
        <v>39.04612497684078</v>
      </c>
      <c r="N23" s="92">
        <f t="shared" si="8"/>
        <v>38.54483828161103</v>
      </c>
    </row>
    <row r="30" spans="1:5" ht="12.75">
      <c r="A30" s="28"/>
      <c r="B30" s="28"/>
      <c r="C30" s="28"/>
      <c r="D30" s="194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329"/>
      <c r="E32" s="330"/>
    </row>
    <row r="33" spans="1:5" ht="12.75">
      <c r="A33" s="25"/>
      <c r="B33" s="25"/>
      <c r="C33" s="25"/>
      <c r="D33" s="329"/>
      <c r="E33" s="330"/>
    </row>
  </sheetData>
  <sheetProtection/>
  <mergeCells count="10">
    <mergeCell ref="A12:A13"/>
    <mergeCell ref="A8:A9"/>
    <mergeCell ref="M2:N2"/>
    <mergeCell ref="O2:P2"/>
    <mergeCell ref="A6:A7"/>
    <mergeCell ref="A10:A11"/>
    <mergeCell ref="B2:C2"/>
    <mergeCell ref="D2:E2"/>
    <mergeCell ref="F2:G2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55">
      <selection activeCell="A1" sqref="A1"/>
    </sheetView>
  </sheetViews>
  <sheetFormatPr defaultColWidth="9.140625" defaultRowHeight="12.75"/>
  <cols>
    <col min="3" max="3" width="13.7109375" style="0" customWidth="1"/>
    <col min="4" max="4" width="14.8515625" style="0" customWidth="1"/>
    <col min="5" max="5" width="15.57421875" style="0" customWidth="1"/>
    <col min="6" max="6" width="10.57421875" style="0" customWidth="1"/>
    <col min="7" max="7" width="10.8515625" style="0" customWidth="1"/>
    <col min="8" max="8" width="10.00390625" style="0" customWidth="1"/>
    <col min="9" max="9" width="10.00390625" style="275" customWidth="1"/>
    <col min="10" max="14" width="10.57421875" style="0" bestFit="1" customWidth="1"/>
    <col min="15" max="16" width="12.8515625" style="0" customWidth="1"/>
    <col min="18" max="18" width="11.00390625" style="0" customWidth="1"/>
  </cols>
  <sheetData>
    <row r="1" spans="1:9" ht="12.75">
      <c r="A1" s="1" t="s">
        <v>101</v>
      </c>
      <c r="B1" s="1"/>
      <c r="C1" s="1"/>
      <c r="D1" s="2"/>
      <c r="E1" s="2"/>
      <c r="F1" s="2"/>
      <c r="G1" s="2"/>
      <c r="H1" s="2"/>
      <c r="I1" s="300"/>
    </row>
    <row r="2" spans="1:9" ht="12.75">
      <c r="A2" s="1" t="s">
        <v>33</v>
      </c>
      <c r="B2" s="1"/>
      <c r="C2" s="1"/>
      <c r="D2" s="2"/>
      <c r="E2" s="2"/>
      <c r="F2" s="2"/>
      <c r="G2" s="2"/>
      <c r="H2" s="2"/>
      <c r="I2" s="300"/>
    </row>
    <row r="3" spans="2:4" ht="12.75">
      <c r="B3" s="75" t="s">
        <v>1</v>
      </c>
      <c r="C3" s="15" t="s">
        <v>2</v>
      </c>
      <c r="D3" s="76" t="s">
        <v>3</v>
      </c>
    </row>
    <row r="4" spans="2:4" ht="12.75">
      <c r="B4" s="8"/>
      <c r="C4" s="8"/>
      <c r="D4" s="8"/>
    </row>
    <row r="5" ht="12.75"/>
    <row r="6" spans="1:15" s="25" customFormat="1" ht="12.75">
      <c r="A6" s="32"/>
      <c r="B6" s="33" t="s">
        <v>56</v>
      </c>
      <c r="C6" s="32"/>
      <c r="D6" s="32"/>
      <c r="E6" s="34"/>
      <c r="F6" s="32"/>
      <c r="G6" s="32"/>
      <c r="H6" s="32"/>
      <c r="I6" s="191"/>
      <c r="J6" s="32"/>
      <c r="K6" s="32"/>
      <c r="L6" s="32"/>
      <c r="M6" s="32"/>
      <c r="N6" s="32"/>
      <c r="O6" s="32"/>
    </row>
    <row r="7" spans="2:9" s="25" customFormat="1" ht="12.75">
      <c r="B7" s="74" t="s">
        <v>4</v>
      </c>
      <c r="E7" s="8"/>
      <c r="I7" s="297"/>
    </row>
    <row r="8" spans="1:15" ht="12.75">
      <c r="A8" t="s">
        <v>6</v>
      </c>
      <c r="B8" t="s">
        <v>5</v>
      </c>
      <c r="E8" s="31">
        <v>0.17</v>
      </c>
      <c r="F8" s="31">
        <v>0.84</v>
      </c>
      <c r="G8" s="31">
        <v>0.54</v>
      </c>
      <c r="H8" s="31">
        <v>1.55</v>
      </c>
      <c r="I8" s="47">
        <v>0.155</v>
      </c>
      <c r="J8" s="31">
        <v>0.19</v>
      </c>
      <c r="K8" s="31">
        <v>0.6</v>
      </c>
      <c r="L8" s="31">
        <v>0.55</v>
      </c>
      <c r="M8" s="31">
        <v>0.07</v>
      </c>
      <c r="N8" s="31">
        <v>1.03</v>
      </c>
      <c r="O8" s="31">
        <v>0.29</v>
      </c>
    </row>
    <row r="9" spans="5:9" ht="12.75">
      <c r="E9" s="8"/>
      <c r="I9" s="48"/>
    </row>
    <row r="10" spans="1:15" ht="12.75">
      <c r="A10" t="s">
        <v>8</v>
      </c>
      <c r="B10" t="s">
        <v>7</v>
      </c>
      <c r="E10" s="8">
        <f>E8*10</f>
        <v>1.7000000000000002</v>
      </c>
      <c r="F10" s="8">
        <f aca="true" t="shared" si="0" ref="F10:M10">F8*10</f>
        <v>8.4</v>
      </c>
      <c r="G10" s="8">
        <f t="shared" si="0"/>
        <v>5.4</v>
      </c>
      <c r="H10" s="8">
        <f t="shared" si="0"/>
        <v>15.5</v>
      </c>
      <c r="I10" s="49">
        <f>I8*10</f>
        <v>1.55</v>
      </c>
      <c r="J10" s="8">
        <f t="shared" si="0"/>
        <v>1.9</v>
      </c>
      <c r="K10" s="8">
        <f t="shared" si="0"/>
        <v>6</v>
      </c>
      <c r="L10" s="8">
        <f t="shared" si="0"/>
        <v>5.5</v>
      </c>
      <c r="M10" s="8">
        <f t="shared" si="0"/>
        <v>0.7000000000000001</v>
      </c>
      <c r="N10" s="8">
        <f>N8*10</f>
        <v>10.3</v>
      </c>
      <c r="O10" s="8">
        <f>O8*10</f>
        <v>2.9</v>
      </c>
    </row>
    <row r="11" spans="1:15" ht="12.75">
      <c r="A11" t="s">
        <v>9</v>
      </c>
      <c r="C11" t="s">
        <v>35</v>
      </c>
      <c r="D11" s="9"/>
      <c r="E11" s="8">
        <f>0.55*E10</f>
        <v>0.9350000000000002</v>
      </c>
      <c r="F11" s="8">
        <f aca="true" t="shared" si="1" ref="F11:M11">0.55*F10</f>
        <v>4.620000000000001</v>
      </c>
      <c r="G11" s="8">
        <f t="shared" si="1"/>
        <v>2.9700000000000006</v>
      </c>
      <c r="H11" s="8">
        <f t="shared" si="1"/>
        <v>8.525</v>
      </c>
      <c r="I11" s="49">
        <f t="shared" si="1"/>
        <v>0.8525000000000001</v>
      </c>
      <c r="J11" s="8">
        <f t="shared" si="1"/>
        <v>1.045</v>
      </c>
      <c r="K11" s="8">
        <f t="shared" si="1"/>
        <v>3.3000000000000003</v>
      </c>
      <c r="L11" s="8">
        <f t="shared" si="1"/>
        <v>3.0250000000000004</v>
      </c>
      <c r="M11" s="8">
        <f t="shared" si="1"/>
        <v>0.38500000000000006</v>
      </c>
      <c r="N11" s="8">
        <f>0.55*N10</f>
        <v>5.665000000000001</v>
      </c>
      <c r="O11" s="8">
        <f>0.55*O10</f>
        <v>1.595</v>
      </c>
    </row>
    <row r="12" spans="1:15" ht="12.75">
      <c r="A12" t="s">
        <v>9</v>
      </c>
      <c r="C12" t="s">
        <v>36</v>
      </c>
      <c r="D12" s="9"/>
      <c r="E12" s="8">
        <f>0.33*E10</f>
        <v>0.561</v>
      </c>
      <c r="F12" s="8">
        <f aca="true" t="shared" si="2" ref="F12:M12">0.33*F10</f>
        <v>2.7720000000000002</v>
      </c>
      <c r="G12" s="8">
        <f t="shared" si="2"/>
        <v>1.7820000000000003</v>
      </c>
      <c r="H12" s="8">
        <f t="shared" si="2"/>
        <v>5.115</v>
      </c>
      <c r="I12" s="49">
        <f>0.33*I10</f>
        <v>0.5115000000000001</v>
      </c>
      <c r="J12" s="8">
        <f t="shared" si="2"/>
        <v>0.627</v>
      </c>
      <c r="K12" s="8">
        <f t="shared" si="2"/>
        <v>1.98</v>
      </c>
      <c r="L12" s="8">
        <f t="shared" si="2"/>
        <v>1.8150000000000002</v>
      </c>
      <c r="M12" s="8">
        <f t="shared" si="2"/>
        <v>0.23100000000000004</v>
      </c>
      <c r="N12" s="8">
        <f>0.33*N10</f>
        <v>3.3990000000000005</v>
      </c>
      <c r="O12" s="8">
        <f>0.33*O10</f>
        <v>0.957</v>
      </c>
    </row>
    <row r="13" spans="1:15" ht="12.75">
      <c r="A13" t="s">
        <v>9</v>
      </c>
      <c r="C13" t="s">
        <v>37</v>
      </c>
      <c r="D13" s="9"/>
      <c r="E13" s="8">
        <f>0.12*E10</f>
        <v>0.20400000000000001</v>
      </c>
      <c r="F13" s="8">
        <f aca="true" t="shared" si="3" ref="F13:M13">0.12*F10</f>
        <v>1.008</v>
      </c>
      <c r="G13" s="8">
        <f t="shared" si="3"/>
        <v>0.648</v>
      </c>
      <c r="H13" s="8">
        <f t="shared" si="3"/>
        <v>1.8599999999999999</v>
      </c>
      <c r="I13" s="49">
        <f>0.12*I10</f>
        <v>0.186</v>
      </c>
      <c r="J13" s="8">
        <f t="shared" si="3"/>
        <v>0.22799999999999998</v>
      </c>
      <c r="K13" s="8">
        <f t="shared" si="3"/>
        <v>0.72</v>
      </c>
      <c r="L13" s="8">
        <f t="shared" si="3"/>
        <v>0.6599999999999999</v>
      </c>
      <c r="M13" s="8">
        <f t="shared" si="3"/>
        <v>0.084</v>
      </c>
      <c r="N13" s="8">
        <f>0.12*N10</f>
        <v>1.236</v>
      </c>
      <c r="O13" s="8">
        <f>0.12*O10</f>
        <v>0.348</v>
      </c>
    </row>
    <row r="14" spans="5:15" ht="12.75">
      <c r="E14" s="7"/>
      <c r="F14" s="7"/>
      <c r="G14" s="7"/>
      <c r="H14" s="7"/>
      <c r="I14" s="50"/>
      <c r="J14" s="7"/>
      <c r="K14" s="7"/>
      <c r="L14" s="7"/>
      <c r="M14" s="7"/>
      <c r="N14" s="7"/>
      <c r="O14" s="7"/>
    </row>
    <row r="15" spans="1:15" ht="12.75">
      <c r="A15" t="s">
        <v>9</v>
      </c>
      <c r="B15" t="s">
        <v>10</v>
      </c>
      <c r="E15" s="10">
        <f>0.997*E11+0.942*E12+0.797*E13</f>
        <v>1.623245</v>
      </c>
      <c r="F15" s="10">
        <f aca="true" t="shared" si="4" ref="F15:M15">0.997*F11+0.942*F12+0.797*F13</f>
        <v>8.02074</v>
      </c>
      <c r="G15" s="10">
        <f t="shared" si="4"/>
        <v>5.1561900000000005</v>
      </c>
      <c r="H15" s="10">
        <f t="shared" si="4"/>
        <v>14.800175</v>
      </c>
      <c r="I15" s="51">
        <f>0.997*I11+0.942*I12+0.797*I13</f>
        <v>1.4800175000000002</v>
      </c>
      <c r="J15" s="10">
        <f t="shared" si="4"/>
        <v>1.8142149999999997</v>
      </c>
      <c r="K15" s="10">
        <f t="shared" si="4"/>
        <v>5.7291</v>
      </c>
      <c r="L15" s="10">
        <f t="shared" si="4"/>
        <v>5.251675</v>
      </c>
      <c r="M15" s="10">
        <f t="shared" si="4"/>
        <v>0.6683950000000001</v>
      </c>
      <c r="N15" s="10">
        <f>0.997*N11+0.942*N12+0.797*N13</f>
        <v>9.834955</v>
      </c>
      <c r="O15" s="10">
        <f>0.997*O11+0.942*O12+0.797*O13</f>
        <v>2.769065</v>
      </c>
    </row>
    <row r="16" spans="1:15" ht="12.75">
      <c r="A16" t="s">
        <v>9</v>
      </c>
      <c r="B16" t="s">
        <v>11</v>
      </c>
      <c r="E16" s="11">
        <f>0.002*E11+0.018*E12+0.033*E13</f>
        <v>0.0187</v>
      </c>
      <c r="F16" s="11">
        <f aca="true" t="shared" si="5" ref="F16:M16">0.002*F11+0.018*F12+0.033*F13</f>
        <v>0.09240000000000001</v>
      </c>
      <c r="G16" s="11">
        <f t="shared" si="5"/>
        <v>0.0594</v>
      </c>
      <c r="H16" s="11">
        <f t="shared" si="5"/>
        <v>0.17049999999999998</v>
      </c>
      <c r="I16" s="52">
        <f>0.002*I11+0.018*I12+0.033*I13</f>
        <v>0.01705</v>
      </c>
      <c r="J16" s="11">
        <f t="shared" si="5"/>
        <v>0.0209</v>
      </c>
      <c r="K16" s="11">
        <f t="shared" si="5"/>
        <v>0.066</v>
      </c>
      <c r="L16" s="11">
        <f t="shared" si="5"/>
        <v>0.0605</v>
      </c>
      <c r="M16" s="11">
        <f t="shared" si="5"/>
        <v>0.0077</v>
      </c>
      <c r="N16" s="11">
        <f>0.002*N11+0.018*N12+0.033*N13</f>
        <v>0.11330000000000001</v>
      </c>
      <c r="O16" s="11">
        <f>0.002*O11+0.018*O12+0.033*O13</f>
        <v>0.0319</v>
      </c>
    </row>
    <row r="17" spans="1:15" ht="12.75">
      <c r="A17" t="s">
        <v>9</v>
      </c>
      <c r="B17" t="s">
        <v>34</v>
      </c>
      <c r="E17" s="10">
        <f>0.0002*E11+0.028*E12+0.077*E13</f>
        <v>0.031603000000000006</v>
      </c>
      <c r="F17" s="10">
        <f aca="true" t="shared" si="6" ref="F17:M17">0.0002*F11+0.028*F12+0.077*F13</f>
        <v>0.15615600000000002</v>
      </c>
      <c r="G17" s="10">
        <f t="shared" si="6"/>
        <v>0.100386</v>
      </c>
      <c r="H17" s="10">
        <f t="shared" si="6"/>
        <v>0.288145</v>
      </c>
      <c r="I17" s="51">
        <f>0.0002*I11+0.028*I12+0.077*I13</f>
        <v>0.0288145</v>
      </c>
      <c r="J17" s="10">
        <f t="shared" si="6"/>
        <v>0.035321</v>
      </c>
      <c r="K17" s="10">
        <f t="shared" si="6"/>
        <v>0.11154</v>
      </c>
      <c r="L17" s="10">
        <f t="shared" si="6"/>
        <v>0.102245</v>
      </c>
      <c r="M17" s="10">
        <f t="shared" si="6"/>
        <v>0.013013000000000002</v>
      </c>
      <c r="N17" s="10">
        <f>0.0002*N11+0.028*N12+0.077*N13</f>
        <v>0.191477</v>
      </c>
      <c r="O17" s="10">
        <f>0.0002*O11+0.028*O12+0.077*O13</f>
        <v>0.053911</v>
      </c>
    </row>
    <row r="18" spans="5:15" ht="12.75">
      <c r="E18" s="10"/>
      <c r="F18" s="10"/>
      <c r="G18" s="10"/>
      <c r="H18" s="10"/>
      <c r="I18" s="51"/>
      <c r="J18" s="10"/>
      <c r="K18" s="10"/>
      <c r="L18" s="10"/>
      <c r="M18" s="10"/>
      <c r="N18" s="10"/>
      <c r="O18" s="10"/>
    </row>
    <row r="19" spans="1:15" ht="12.75">
      <c r="A19" t="s">
        <v>8</v>
      </c>
      <c r="B19" t="s">
        <v>12</v>
      </c>
      <c r="E19" s="12">
        <f>E15+E16</f>
        <v>1.641945</v>
      </c>
      <c r="F19" s="12">
        <f aca="true" t="shared" si="7" ref="F19:M19">F15+F16</f>
        <v>8.11314</v>
      </c>
      <c r="G19" s="12">
        <f t="shared" si="7"/>
        <v>5.215590000000001</v>
      </c>
      <c r="H19" s="12">
        <f t="shared" si="7"/>
        <v>14.970675</v>
      </c>
      <c r="I19" s="53">
        <f>I15+I16</f>
        <v>1.4970675000000002</v>
      </c>
      <c r="J19" s="12">
        <f t="shared" si="7"/>
        <v>1.8351149999999996</v>
      </c>
      <c r="K19" s="12">
        <f t="shared" si="7"/>
        <v>5.7951</v>
      </c>
      <c r="L19" s="12">
        <f t="shared" si="7"/>
        <v>5.312175</v>
      </c>
      <c r="M19" s="12">
        <f t="shared" si="7"/>
        <v>0.6760950000000001</v>
      </c>
      <c r="N19" s="12">
        <f>N15+N16</f>
        <v>9.948255000000001</v>
      </c>
      <c r="O19" s="12">
        <f>O15+O16</f>
        <v>2.8009649999999997</v>
      </c>
    </row>
    <row r="20" spans="1:15" ht="12.75">
      <c r="A20" t="s">
        <v>8</v>
      </c>
      <c r="B20" t="s">
        <v>13</v>
      </c>
      <c r="E20" s="13">
        <f>E17</f>
        <v>0.031603000000000006</v>
      </c>
      <c r="F20" s="13">
        <f aca="true" t="shared" si="8" ref="F20:M20">F17</f>
        <v>0.15615600000000002</v>
      </c>
      <c r="G20" s="13">
        <f t="shared" si="8"/>
        <v>0.100386</v>
      </c>
      <c r="H20" s="13">
        <f t="shared" si="8"/>
        <v>0.288145</v>
      </c>
      <c r="I20" s="54">
        <f>I17</f>
        <v>0.0288145</v>
      </c>
      <c r="J20" s="13">
        <f t="shared" si="8"/>
        <v>0.035321</v>
      </c>
      <c r="K20" s="13">
        <f t="shared" si="8"/>
        <v>0.11154</v>
      </c>
      <c r="L20" s="13">
        <f t="shared" si="8"/>
        <v>0.102245</v>
      </c>
      <c r="M20" s="13">
        <f t="shared" si="8"/>
        <v>0.013013000000000002</v>
      </c>
      <c r="N20" s="13">
        <f>N17</f>
        <v>0.191477</v>
      </c>
      <c r="O20" s="13">
        <f>O17</f>
        <v>0.053911</v>
      </c>
    </row>
    <row r="21" ht="12.75">
      <c r="I21" s="48"/>
    </row>
    <row r="22" spans="2:15" ht="12.75" hidden="1">
      <c r="B22" s="14" t="s">
        <v>14</v>
      </c>
      <c r="E22" s="7"/>
      <c r="F22" s="7"/>
      <c r="G22" s="7"/>
      <c r="H22" s="7"/>
      <c r="I22" s="50"/>
      <c r="J22" s="7"/>
      <c r="K22" s="7"/>
      <c r="L22" s="7"/>
      <c r="M22" s="7"/>
      <c r="N22" s="7"/>
      <c r="O22" s="7"/>
    </row>
    <row r="23" spans="2:15" ht="12.75" hidden="1">
      <c r="B23" t="s">
        <v>15</v>
      </c>
      <c r="E23" s="7"/>
      <c r="F23" s="7"/>
      <c r="G23" s="7"/>
      <c r="H23" s="7"/>
      <c r="I23" s="50"/>
      <c r="J23" s="7"/>
      <c r="K23" s="7"/>
      <c r="L23" s="7"/>
      <c r="M23" s="7"/>
      <c r="N23" s="7"/>
      <c r="O23" s="7"/>
    </row>
    <row r="24" spans="5:15" ht="12.75" hidden="1">
      <c r="E24" s="7"/>
      <c r="F24" s="7"/>
      <c r="G24" s="7"/>
      <c r="H24" s="7"/>
      <c r="I24" s="50"/>
      <c r="J24" s="7"/>
      <c r="K24" s="7"/>
      <c r="L24" s="7"/>
      <c r="M24" s="7"/>
      <c r="N24" s="7"/>
      <c r="O24" s="7"/>
    </row>
    <row r="25" spans="2:15" ht="12.75" hidden="1">
      <c r="B25" s="14" t="s">
        <v>16</v>
      </c>
      <c r="E25" s="7"/>
      <c r="F25" s="7"/>
      <c r="G25" s="7"/>
      <c r="H25" s="7"/>
      <c r="I25" s="50"/>
      <c r="J25" s="7"/>
      <c r="K25" s="7"/>
      <c r="L25" s="7"/>
      <c r="M25" s="7"/>
      <c r="N25" s="7"/>
      <c r="O25" s="7"/>
    </row>
    <row r="26" spans="2:15" ht="12.75" hidden="1">
      <c r="B26" t="s">
        <v>17</v>
      </c>
      <c r="E26" s="7">
        <v>2.25</v>
      </c>
      <c r="F26" s="7">
        <v>2.25</v>
      </c>
      <c r="G26" s="7">
        <v>2.25</v>
      </c>
      <c r="H26" s="7">
        <v>2.25</v>
      </c>
      <c r="I26" s="50">
        <v>2.25</v>
      </c>
      <c r="J26" s="7">
        <v>2.25</v>
      </c>
      <c r="K26" s="7">
        <v>2.25</v>
      </c>
      <c r="L26" s="7">
        <v>2.25</v>
      </c>
      <c r="M26" s="7">
        <v>2.25</v>
      </c>
      <c r="N26" s="7">
        <v>2.25</v>
      </c>
      <c r="O26" s="7">
        <v>2.25</v>
      </c>
    </row>
    <row r="27" spans="2:15" ht="12.75" hidden="1">
      <c r="B27" t="s">
        <v>7</v>
      </c>
      <c r="E27" s="7">
        <v>0.001</v>
      </c>
      <c r="F27" s="7">
        <v>0.001</v>
      </c>
      <c r="G27" s="7">
        <v>0.001</v>
      </c>
      <c r="H27" s="7">
        <v>0.001</v>
      </c>
      <c r="I27" s="50">
        <v>0.001</v>
      </c>
      <c r="J27" s="7">
        <v>0.001</v>
      </c>
      <c r="K27" s="7">
        <v>0.001</v>
      </c>
      <c r="L27" s="7">
        <v>0.001</v>
      </c>
      <c r="M27" s="7">
        <v>0.001</v>
      </c>
      <c r="N27" s="7">
        <v>0.001</v>
      </c>
      <c r="O27" s="7">
        <v>0.001</v>
      </c>
    </row>
    <row r="28" spans="5:15" ht="12.75" hidden="1">
      <c r="E28" s="7"/>
      <c r="F28" s="7"/>
      <c r="G28" s="7"/>
      <c r="H28" s="7"/>
      <c r="I28" s="50"/>
      <c r="J28" s="7"/>
      <c r="K28" s="7"/>
      <c r="L28" s="7"/>
      <c r="M28" s="7"/>
      <c r="N28" s="7"/>
      <c r="O28" s="7"/>
    </row>
    <row r="29" spans="5:15" ht="12.75" hidden="1">
      <c r="E29" s="7"/>
      <c r="F29" s="7"/>
      <c r="G29" s="7"/>
      <c r="H29" s="7"/>
      <c r="I29" s="50"/>
      <c r="J29" s="7"/>
      <c r="K29" s="7"/>
      <c r="L29" s="7"/>
      <c r="M29" s="7"/>
      <c r="N29" s="7"/>
      <c r="O29" s="7"/>
    </row>
    <row r="30" spans="5:15" ht="12.75" hidden="1">
      <c r="E30" s="7"/>
      <c r="F30" s="7"/>
      <c r="G30" s="7"/>
      <c r="H30" s="7"/>
      <c r="I30" s="50"/>
      <c r="J30" s="7"/>
      <c r="K30" s="7"/>
      <c r="L30" s="7"/>
      <c r="M30" s="7"/>
      <c r="N30" s="7"/>
      <c r="O30" s="7"/>
    </row>
    <row r="31" spans="2:15" ht="12.75" hidden="1">
      <c r="B31" t="s">
        <v>18</v>
      </c>
      <c r="E31" s="16">
        <f>E20+H27</f>
        <v>0.03260300000000001</v>
      </c>
      <c r="F31" s="16">
        <f>F20+J27</f>
        <v>0.15715600000000002</v>
      </c>
      <c r="G31" s="16">
        <f>G20+K27</f>
        <v>0.101386</v>
      </c>
      <c r="H31" s="16">
        <f>H20+L27</f>
        <v>0.289145</v>
      </c>
      <c r="I31" s="55">
        <f>I20+M27</f>
        <v>0.0298145</v>
      </c>
      <c r="J31" s="16">
        <f aca="true" t="shared" si="9" ref="J31:O31">J20+M27</f>
        <v>0.036321</v>
      </c>
      <c r="K31" s="16">
        <f t="shared" si="9"/>
        <v>0.11254</v>
      </c>
      <c r="L31" s="16">
        <f t="shared" si="9"/>
        <v>0.103245</v>
      </c>
      <c r="M31" s="16">
        <f t="shared" si="9"/>
        <v>0.013013000000000002</v>
      </c>
      <c r="N31" s="16">
        <f t="shared" si="9"/>
        <v>0.191477</v>
      </c>
      <c r="O31" s="16">
        <f t="shared" si="9"/>
        <v>0.053911</v>
      </c>
    </row>
    <row r="32" spans="2:15" ht="12.75" hidden="1">
      <c r="B32" t="s">
        <v>19</v>
      </c>
      <c r="E32" s="17">
        <f>E19+H26</f>
        <v>3.8919449999999998</v>
      </c>
      <c r="F32" s="17">
        <f>F19+J26</f>
        <v>10.36314</v>
      </c>
      <c r="G32" s="17">
        <f>G19+K26</f>
        <v>7.465590000000001</v>
      </c>
      <c r="H32" s="17">
        <f>H19+L26</f>
        <v>17.220675</v>
      </c>
      <c r="I32" s="56">
        <f>I19+M26</f>
        <v>3.7470675</v>
      </c>
      <c r="J32" s="17">
        <f aca="true" t="shared" si="10" ref="J32:O32">J19+M26</f>
        <v>4.085115</v>
      </c>
      <c r="K32" s="17">
        <f t="shared" si="10"/>
        <v>8.0451</v>
      </c>
      <c r="L32" s="17">
        <f t="shared" si="10"/>
        <v>7.562175</v>
      </c>
      <c r="M32" s="17">
        <f t="shared" si="10"/>
        <v>0.6760950000000001</v>
      </c>
      <c r="N32" s="17">
        <f t="shared" si="10"/>
        <v>9.948255000000001</v>
      </c>
      <c r="O32" s="17">
        <f t="shared" si="10"/>
        <v>2.8009649999999997</v>
      </c>
    </row>
    <row r="33" spans="2:15" ht="12.75" hidden="1">
      <c r="B33" t="s">
        <v>20</v>
      </c>
      <c r="E33" s="15">
        <f>H23</f>
        <v>0</v>
      </c>
      <c r="F33" s="15">
        <f>J23</f>
        <v>0</v>
      </c>
      <c r="G33" s="15">
        <f>K23</f>
        <v>0</v>
      </c>
      <c r="H33" s="15">
        <f>L23</f>
        <v>0</v>
      </c>
      <c r="I33" s="57">
        <f>M23</f>
        <v>0</v>
      </c>
      <c r="J33" s="15">
        <f aca="true" t="shared" si="11" ref="J33:O33">M23</f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11"/>
        <v>0</v>
      </c>
      <c r="O33" s="15">
        <f t="shared" si="11"/>
        <v>0</v>
      </c>
    </row>
    <row r="34" spans="5:15" ht="12.75" hidden="1">
      <c r="E34" s="7"/>
      <c r="F34" s="7"/>
      <c r="G34" s="7"/>
      <c r="H34" s="7"/>
      <c r="I34" s="50"/>
      <c r="J34" s="7"/>
      <c r="K34" s="7"/>
      <c r="L34" s="7"/>
      <c r="M34" s="7"/>
      <c r="N34" s="7"/>
      <c r="O34" s="7"/>
    </row>
    <row r="35" spans="5:15" ht="12.75" hidden="1">
      <c r="E35" s="7"/>
      <c r="F35" s="7"/>
      <c r="G35" s="7"/>
      <c r="H35" s="7"/>
      <c r="I35" s="50"/>
      <c r="J35" s="7"/>
      <c r="K35" s="7"/>
      <c r="L35" s="7"/>
      <c r="M35" s="7"/>
      <c r="N35" s="7"/>
      <c r="O35" s="7"/>
    </row>
    <row r="36" ht="12.75" hidden="1">
      <c r="I36" s="48"/>
    </row>
    <row r="37" ht="12.75" hidden="1">
      <c r="I37" s="48"/>
    </row>
    <row r="38" spans="2:9" ht="12.75" hidden="1">
      <c r="B38" s="14" t="s">
        <v>21</v>
      </c>
      <c r="I38" s="48"/>
    </row>
    <row r="39" spans="2:9" ht="12.75" hidden="1">
      <c r="B39" s="18">
        <f>63.2-15*LN(E32)</f>
        <v>42.816364509919914</v>
      </c>
      <c r="I39" s="48"/>
    </row>
    <row r="40" spans="1:9" ht="12.75" hidden="1">
      <c r="A40">
        <f>-0.1167*E32</f>
        <v>-0.45418998149999995</v>
      </c>
      <c r="B40" s="18">
        <f>72.9*EXP(A40)</f>
        <v>46.28873641464911</v>
      </c>
      <c r="I40" s="48"/>
    </row>
    <row r="41" spans="2:9" ht="12.75" hidden="1">
      <c r="B41" s="18">
        <f>AVERAGE(B39:B40)</f>
        <v>44.552550462284515</v>
      </c>
      <c r="I41" s="48"/>
    </row>
    <row r="42" spans="2:15" ht="12.75">
      <c r="B42" s="18"/>
      <c r="E42" s="18">
        <f>63.2-15*LN(E19)</f>
        <v>55.76177727901497</v>
      </c>
      <c r="F42" s="18">
        <f aca="true" t="shared" si="12" ref="F42:M42">63.2-15*LN(F19)</f>
        <v>31.79772545720851</v>
      </c>
      <c r="G42" s="18">
        <f t="shared" si="12"/>
        <v>38.425216741394095</v>
      </c>
      <c r="H42" s="18">
        <f t="shared" si="12"/>
        <v>22.608600686069508</v>
      </c>
      <c r="I42" s="58">
        <f>63.2-15*LN(I19)</f>
        <v>57.14737708098019</v>
      </c>
      <c r="J42" s="18">
        <f t="shared" si="12"/>
        <v>54.09339275236161</v>
      </c>
      <c r="K42" s="18">
        <f t="shared" si="12"/>
        <v>36.8448090065267</v>
      </c>
      <c r="L42" s="18">
        <f t="shared" si="12"/>
        <v>38.14997966137115</v>
      </c>
      <c r="M42" s="18">
        <f t="shared" si="12"/>
        <v>69.07132520402851</v>
      </c>
      <c r="N42" s="18">
        <f>63.2-15*LN(N19)</f>
        <v>28.73904261641367</v>
      </c>
      <c r="O42" s="18">
        <f>63.2-15*LN(O19)</f>
        <v>47.7505399900611</v>
      </c>
    </row>
    <row r="43" spans="2:15" ht="12.75">
      <c r="B43" s="18"/>
      <c r="E43" s="18">
        <f>-0.1167*(E19)</f>
        <v>-0.1916149815</v>
      </c>
      <c r="F43" s="18">
        <f aca="true" t="shared" si="13" ref="F43:M43">-0.1167*(F19)</f>
        <v>-0.9468034379999999</v>
      </c>
      <c r="G43" s="18">
        <f t="shared" si="13"/>
        <v>-0.6086593530000001</v>
      </c>
      <c r="H43" s="18">
        <f t="shared" si="13"/>
        <v>-1.7470777725</v>
      </c>
      <c r="I43" s="58">
        <f>-0.1167*(I19)</f>
        <v>-0.17470777725000003</v>
      </c>
      <c r="J43" s="18">
        <f t="shared" si="13"/>
        <v>-0.21415792049999996</v>
      </c>
      <c r="K43" s="18">
        <f t="shared" si="13"/>
        <v>-0.67628817</v>
      </c>
      <c r="L43" s="18">
        <f t="shared" si="13"/>
        <v>-0.6199308225</v>
      </c>
      <c r="M43" s="18">
        <f t="shared" si="13"/>
        <v>-0.07890028650000001</v>
      </c>
      <c r="N43" s="18">
        <f>-0.1167*(N19)</f>
        <v>-1.1609613585</v>
      </c>
      <c r="O43" s="18">
        <f>-0.1167*(O19)</f>
        <v>-0.32687261549999996</v>
      </c>
    </row>
    <row r="44" spans="2:15" ht="12.75">
      <c r="B44" s="18"/>
      <c r="E44" s="18">
        <f>72.9*EXP(E43)</f>
        <v>60.18803976128817</v>
      </c>
      <c r="F44" s="18">
        <f aca="true" t="shared" si="14" ref="F44:M44">72.9*EXP(F43)</f>
        <v>28.28368682071261</v>
      </c>
      <c r="G44" s="18">
        <f t="shared" si="14"/>
        <v>39.66341736874782</v>
      </c>
      <c r="H44" s="18">
        <f t="shared" si="14"/>
        <v>12.705193749455585</v>
      </c>
      <c r="I44" s="58">
        <f t="shared" si="14"/>
        <v>61.214302412448866</v>
      </c>
      <c r="J44" s="18">
        <f t="shared" si="14"/>
        <v>58.846403480872134</v>
      </c>
      <c r="K44" s="18">
        <f t="shared" si="14"/>
        <v>37.0697201912086</v>
      </c>
      <c r="L44" s="18">
        <f t="shared" si="14"/>
        <v>39.21886246967098</v>
      </c>
      <c r="M44" s="18">
        <f t="shared" si="14"/>
        <v>67.36922777863329</v>
      </c>
      <c r="N44" s="18">
        <f>72.9*EXP(N43)</f>
        <v>22.831183080634837</v>
      </c>
      <c r="O44" s="18">
        <f>72.9*EXP(O43)</f>
        <v>52.57370151478662</v>
      </c>
    </row>
    <row r="45" spans="2:15" ht="12.75">
      <c r="B45" s="18"/>
      <c r="C45" s="14" t="s">
        <v>23</v>
      </c>
      <c r="E45" s="22">
        <f>AVERAGE(E42,E44)</f>
        <v>57.97490852015157</v>
      </c>
      <c r="F45" s="22">
        <f aca="true" t="shared" si="15" ref="F45:M45">AVERAGE(F42,F44)</f>
        <v>30.04070613896056</v>
      </c>
      <c r="G45" s="22">
        <f t="shared" si="15"/>
        <v>39.04431705507096</v>
      </c>
      <c r="H45" s="22">
        <v>20</v>
      </c>
      <c r="I45" s="59">
        <f t="shared" si="15"/>
        <v>59.180839746714526</v>
      </c>
      <c r="J45" s="22">
        <f t="shared" si="15"/>
        <v>56.469898116616875</v>
      </c>
      <c r="K45" s="22">
        <f t="shared" si="15"/>
        <v>36.95726459886765</v>
      </c>
      <c r="L45" s="22">
        <f t="shared" si="15"/>
        <v>38.684421065521065</v>
      </c>
      <c r="M45" s="22">
        <f t="shared" si="15"/>
        <v>68.2202764913309</v>
      </c>
      <c r="N45" s="22">
        <f>AVERAGE(N42,N44)</f>
        <v>25.785112848524253</v>
      </c>
      <c r="O45" s="22">
        <f>AVERAGE(O42,O44)</f>
        <v>50.16212075242386</v>
      </c>
    </row>
    <row r="46" ht="12.75">
      <c r="I46" s="48"/>
    </row>
    <row r="47" spans="2:15" ht="41.25" customHeight="1">
      <c r="B47" s="19" t="s">
        <v>22</v>
      </c>
      <c r="D47" s="19"/>
      <c r="F47" s="19"/>
      <c r="G47" s="19"/>
      <c r="H47" s="19"/>
      <c r="I47" s="60"/>
      <c r="J47" s="19"/>
      <c r="K47" s="19"/>
      <c r="L47" s="19"/>
      <c r="M47" s="19"/>
      <c r="N47" s="19"/>
      <c r="O47" s="19"/>
    </row>
    <row r="48" spans="1:15" ht="12.75">
      <c r="A48" t="s">
        <v>8</v>
      </c>
      <c r="B48" t="s">
        <v>38</v>
      </c>
      <c r="D48" s="20"/>
      <c r="E48" s="13">
        <f>E20*100/100</f>
        <v>0.031603000000000006</v>
      </c>
      <c r="F48" s="13">
        <f aca="true" t="shared" si="16" ref="F48:M48">F20*100/100</f>
        <v>0.15615600000000002</v>
      </c>
      <c r="G48" s="13">
        <f t="shared" si="16"/>
        <v>0.100386</v>
      </c>
      <c r="H48" s="13">
        <f t="shared" si="16"/>
        <v>0.288145</v>
      </c>
      <c r="I48" s="54">
        <f>I20*100/100</f>
        <v>0.0288145</v>
      </c>
      <c r="J48" s="13">
        <f t="shared" si="16"/>
        <v>0.035321</v>
      </c>
      <c r="K48" s="13">
        <f t="shared" si="16"/>
        <v>0.11154</v>
      </c>
      <c r="L48" s="13">
        <f t="shared" si="16"/>
        <v>0.102245</v>
      </c>
      <c r="M48" s="13">
        <f t="shared" si="16"/>
        <v>0.013013000000000002</v>
      </c>
      <c r="N48" s="13">
        <f>N20*100/100</f>
        <v>0.191477</v>
      </c>
      <c r="O48" s="13">
        <f>O20*100/100</f>
        <v>0.053911</v>
      </c>
    </row>
    <row r="49" spans="1:15" ht="12.75">
      <c r="A49" t="s">
        <v>8</v>
      </c>
      <c r="B49" t="s">
        <v>24</v>
      </c>
      <c r="D49" s="21"/>
      <c r="E49" s="12">
        <f>E19*E45/100</f>
        <v>0.9519161117012027</v>
      </c>
      <c r="F49" s="12">
        <f aca="true" t="shared" si="17" ref="F49:M49">F19*F45/100</f>
        <v>2.4372445460424648</v>
      </c>
      <c r="G49" s="12">
        <f t="shared" si="17"/>
        <v>2.036391495892576</v>
      </c>
      <c r="H49" s="12">
        <f t="shared" si="17"/>
        <v>2.994135</v>
      </c>
      <c r="I49" s="53">
        <f>I19*I45/100</f>
        <v>0.8859771180751456</v>
      </c>
      <c r="J49" s="12">
        <f t="shared" si="17"/>
        <v>1.0362875708227535</v>
      </c>
      <c r="K49" s="12">
        <f t="shared" si="17"/>
        <v>2.1417104407689793</v>
      </c>
      <c r="L49" s="12">
        <f t="shared" si="17"/>
        <v>2.0549841447373436</v>
      </c>
      <c r="M49" s="12">
        <f t="shared" si="17"/>
        <v>0.4612338783440638</v>
      </c>
      <c r="N49" s="12">
        <f>N19*N45/100</f>
        <v>2.5651687782089567</v>
      </c>
      <c r="O49" s="12">
        <f>O19*O45/100</f>
        <v>1.405023445533129</v>
      </c>
    </row>
    <row r="50" spans="2:15" ht="12.75">
      <c r="B50" t="s">
        <v>25</v>
      </c>
      <c r="E50" s="10">
        <f>SUM(E48:E49)</f>
        <v>0.9835191117012028</v>
      </c>
      <c r="F50" s="10">
        <f aca="true" t="shared" si="18" ref="F50:M50">SUM(F48:F49)</f>
        <v>2.593400546042465</v>
      </c>
      <c r="G50" s="10">
        <f t="shared" si="18"/>
        <v>2.136777495892576</v>
      </c>
      <c r="H50" s="10">
        <f t="shared" si="18"/>
        <v>3.28228</v>
      </c>
      <c r="I50" s="51">
        <f t="shared" si="18"/>
        <v>0.9147916180751455</v>
      </c>
      <c r="J50" s="10">
        <f t="shared" si="18"/>
        <v>1.0716085708227534</v>
      </c>
      <c r="K50" s="10">
        <f t="shared" si="18"/>
        <v>2.2532504407689795</v>
      </c>
      <c r="L50" s="10">
        <f t="shared" si="18"/>
        <v>2.1572291447373435</v>
      </c>
      <c r="M50" s="10">
        <f t="shared" si="18"/>
        <v>0.4742468783440638</v>
      </c>
      <c r="N50" s="10">
        <f>SUM(N48:N49)</f>
        <v>2.7566457782089566</v>
      </c>
      <c r="O50" s="10">
        <f>SUM(O48:O49)</f>
        <v>1.458934445533129</v>
      </c>
    </row>
    <row r="51" spans="1:15" ht="12.75">
      <c r="A51" s="71" t="s">
        <v>52</v>
      </c>
      <c r="E51" s="66">
        <f>E50*(240/365)/70</f>
        <v>0.009238535687212862</v>
      </c>
      <c r="F51" s="66">
        <f aca="true" t="shared" si="19" ref="F51:O51">F50*(240/365)/70</f>
        <v>0.024360709630144483</v>
      </c>
      <c r="G51" s="66">
        <f t="shared" si="19"/>
        <v>0.02007149115515531</v>
      </c>
      <c r="H51" s="66">
        <f t="shared" si="19"/>
        <v>0.030831592954990217</v>
      </c>
      <c r="I51" s="68">
        <f t="shared" si="19"/>
        <v>0.008592954533778275</v>
      </c>
      <c r="J51" s="66">
        <f t="shared" si="19"/>
        <v>0.01006599048913741</v>
      </c>
      <c r="K51" s="66">
        <f t="shared" si="19"/>
        <v>0.02116556187023699</v>
      </c>
      <c r="L51" s="66">
        <f t="shared" si="19"/>
        <v>0.020263600576789133</v>
      </c>
      <c r="M51" s="66">
        <f t="shared" si="19"/>
        <v>0.004454765197752458</v>
      </c>
      <c r="N51" s="66">
        <f t="shared" si="19"/>
        <v>0.025894128640710355</v>
      </c>
      <c r="O51" s="66">
        <f t="shared" si="19"/>
        <v>0.013704276592092012</v>
      </c>
    </row>
    <row r="52" ht="12.75">
      <c r="I52" s="48"/>
    </row>
    <row r="53" ht="12.75">
      <c r="I53" s="48"/>
    </row>
    <row r="54" spans="2:9" ht="12.75">
      <c r="B54" s="6" t="s">
        <v>14</v>
      </c>
      <c r="I54" s="48"/>
    </row>
    <row r="55" spans="1:15" ht="12.75">
      <c r="A55" t="s">
        <v>8</v>
      </c>
      <c r="B55" t="s">
        <v>26</v>
      </c>
      <c r="E55" s="15">
        <v>85</v>
      </c>
      <c r="F55" s="15">
        <v>85</v>
      </c>
      <c r="G55" s="15">
        <v>85</v>
      </c>
      <c r="H55" s="15">
        <v>85</v>
      </c>
      <c r="I55" s="57">
        <v>86</v>
      </c>
      <c r="J55" s="15">
        <v>85</v>
      </c>
      <c r="K55" s="15">
        <v>85</v>
      </c>
      <c r="L55" s="15">
        <v>85</v>
      </c>
      <c r="M55" s="15">
        <v>85</v>
      </c>
      <c r="N55" s="15">
        <v>85</v>
      </c>
      <c r="O55" s="15">
        <v>85</v>
      </c>
    </row>
    <row r="56" spans="1:15" ht="12.75">
      <c r="A56" t="s">
        <v>8</v>
      </c>
      <c r="B56" t="s">
        <v>27</v>
      </c>
      <c r="E56" s="167">
        <f>E55*0.3/100</f>
        <v>0.255</v>
      </c>
      <c r="F56" s="167">
        <f aca="true" t="shared" si="20" ref="F56:O56">F55*0.3/100</f>
        <v>0.255</v>
      </c>
      <c r="G56" s="167">
        <f t="shared" si="20"/>
        <v>0.255</v>
      </c>
      <c r="H56" s="167">
        <f t="shared" si="20"/>
        <v>0.255</v>
      </c>
      <c r="I56" s="168">
        <f t="shared" si="20"/>
        <v>0.258</v>
      </c>
      <c r="J56" s="167">
        <f t="shared" si="20"/>
        <v>0.255</v>
      </c>
      <c r="K56" s="167">
        <f t="shared" si="20"/>
        <v>0.255</v>
      </c>
      <c r="L56" s="167">
        <f t="shared" si="20"/>
        <v>0.255</v>
      </c>
      <c r="M56" s="167">
        <f t="shared" si="20"/>
        <v>0.255</v>
      </c>
      <c r="N56" s="167">
        <f t="shared" si="20"/>
        <v>0.255</v>
      </c>
      <c r="O56" s="167">
        <f t="shared" si="20"/>
        <v>0.255</v>
      </c>
    </row>
    <row r="57" spans="1:15" ht="12.75">
      <c r="A57" s="71" t="s">
        <v>52</v>
      </c>
      <c r="E57" s="67">
        <f>E56*(240/365)/70</f>
        <v>0.002395303326810176</v>
      </c>
      <c r="F57" s="67">
        <f aca="true" t="shared" si="21" ref="F57:O57">F56*(240/365)/70</f>
        <v>0.002395303326810176</v>
      </c>
      <c r="G57" s="67">
        <f t="shared" si="21"/>
        <v>0.002395303326810176</v>
      </c>
      <c r="H57" s="67">
        <f t="shared" si="21"/>
        <v>0.002395303326810176</v>
      </c>
      <c r="I57" s="69">
        <f t="shared" si="21"/>
        <v>0.0024234833659491192</v>
      </c>
      <c r="J57" s="67">
        <f t="shared" si="21"/>
        <v>0.002395303326810176</v>
      </c>
      <c r="K57" s="67">
        <f t="shared" si="21"/>
        <v>0.002395303326810176</v>
      </c>
      <c r="L57" s="67">
        <f t="shared" si="21"/>
        <v>0.002395303326810176</v>
      </c>
      <c r="M57" s="67">
        <f t="shared" si="21"/>
        <v>0.002395303326810176</v>
      </c>
      <c r="N57" s="67">
        <f t="shared" si="21"/>
        <v>0.002395303326810176</v>
      </c>
      <c r="O57" s="67">
        <f t="shared" si="21"/>
        <v>0.002395303326810176</v>
      </c>
    </row>
    <row r="58" spans="1:15" ht="12.75">
      <c r="A58" s="71"/>
      <c r="E58" s="79"/>
      <c r="F58" s="79"/>
      <c r="G58" s="79"/>
      <c r="H58" s="79"/>
      <c r="I58" s="70"/>
      <c r="J58" s="79"/>
      <c r="K58" s="79"/>
      <c r="L58" s="79"/>
      <c r="M58" s="79"/>
      <c r="N58" s="79"/>
      <c r="O58" s="79"/>
    </row>
    <row r="59" spans="1:15" ht="12.75">
      <c r="A59" s="71"/>
      <c r="B59" s="6" t="s">
        <v>54</v>
      </c>
      <c r="E59" s="79"/>
      <c r="F59" s="79"/>
      <c r="G59" s="79"/>
      <c r="H59" s="79"/>
      <c r="I59" s="70"/>
      <c r="J59" s="79"/>
      <c r="K59" s="79"/>
      <c r="L59" s="79"/>
      <c r="M59" s="79"/>
      <c r="N59" s="79"/>
      <c r="O59" s="79"/>
    </row>
    <row r="60" spans="1:15" ht="39.75" customHeight="1">
      <c r="A60" s="41" t="s">
        <v>8</v>
      </c>
      <c r="B60" s="331" t="s">
        <v>28</v>
      </c>
      <c r="C60" s="331"/>
      <c r="D60" s="331"/>
      <c r="E60" s="40">
        <f>(E48+E49+E56)*240/365</f>
        <v>0.8143687309816128</v>
      </c>
      <c r="F60" s="40">
        <f aca="true" t="shared" si="22" ref="F60:M60">(F48+F49+F56)*240/365</f>
        <v>1.8729209069868262</v>
      </c>
      <c r="G60" s="40">
        <f t="shared" si="22"/>
        <v>1.572675613737584</v>
      </c>
      <c r="H60" s="40">
        <f t="shared" si="22"/>
        <v>2.325882739726027</v>
      </c>
      <c r="I60" s="82">
        <f t="shared" si="22"/>
        <v>0.7711506529809176</v>
      </c>
      <c r="J60" s="40">
        <f t="shared" si="22"/>
        <v>0.8722905671163309</v>
      </c>
      <c r="K60" s="40">
        <f t="shared" si="22"/>
        <v>1.6492605637933013</v>
      </c>
      <c r="L60" s="40">
        <f t="shared" si="22"/>
        <v>1.5861232732519517</v>
      </c>
      <c r="M60" s="40">
        <f t="shared" si="22"/>
        <v>0.4795047967193844</v>
      </c>
      <c r="N60" s="40">
        <f>(N48+N49+N56)*240/365</f>
        <v>1.9802602377264371</v>
      </c>
      <c r="O60" s="40">
        <f>(O48+O49+O56)*240/365</f>
        <v>1.1269705943231534</v>
      </c>
    </row>
    <row r="61" spans="1:15" ht="12.75">
      <c r="A61" s="24" t="s">
        <v>39</v>
      </c>
      <c r="E61" s="314">
        <f>E60/70</f>
        <v>0.01163383901402304</v>
      </c>
      <c r="F61" s="314">
        <f aca="true" t="shared" si="23" ref="F61:M61">F60/70</f>
        <v>0.02675601295695466</v>
      </c>
      <c r="G61" s="314">
        <f t="shared" si="23"/>
        <v>0.022466794481965483</v>
      </c>
      <c r="H61" s="314">
        <f t="shared" si="23"/>
        <v>0.03322689628180039</v>
      </c>
      <c r="I61" s="315">
        <f t="shared" si="23"/>
        <v>0.011016437899727394</v>
      </c>
      <c r="J61" s="314">
        <f t="shared" si="23"/>
        <v>0.012461293815947584</v>
      </c>
      <c r="K61" s="314">
        <f t="shared" si="23"/>
        <v>0.02356086519704716</v>
      </c>
      <c r="L61" s="314">
        <f t="shared" si="23"/>
        <v>0.02265890390359931</v>
      </c>
      <c r="M61" s="314">
        <f t="shared" si="23"/>
        <v>0.006850068524562635</v>
      </c>
      <c r="N61" s="314">
        <f>N60/70</f>
        <v>0.02828943196752053</v>
      </c>
      <c r="O61" s="314">
        <f>O60/70</f>
        <v>0.01609957991890219</v>
      </c>
    </row>
    <row r="62" spans="3:15" ht="12.75">
      <c r="C62" s="29" t="s">
        <v>40</v>
      </c>
      <c r="E62" s="30">
        <f>4.075/E61</f>
        <v>350.27130726909076</v>
      </c>
      <c r="F62" s="30">
        <f aca="true" t="shared" si="24" ref="F62:M62">4.075/F61</f>
        <v>152.30221358301407</v>
      </c>
      <c r="G62" s="30">
        <f t="shared" si="24"/>
        <v>181.3787900748849</v>
      </c>
      <c r="H62" s="30">
        <f t="shared" si="24"/>
        <v>122.64160833559498</v>
      </c>
      <c r="I62" s="83">
        <f t="shared" si="24"/>
        <v>369.90178105582004</v>
      </c>
      <c r="J62" s="30">
        <f t="shared" si="24"/>
        <v>327.0125927682517</v>
      </c>
      <c r="K62" s="30">
        <f t="shared" si="24"/>
        <v>172.9562970595287</v>
      </c>
      <c r="L62" s="30">
        <f t="shared" si="24"/>
        <v>179.84100278357667</v>
      </c>
      <c r="M62" s="30">
        <f t="shared" si="24"/>
        <v>594.8845599701766</v>
      </c>
      <c r="N62" s="30">
        <f>4.075/N61</f>
        <v>144.0467240444616</v>
      </c>
      <c r="O62" s="30">
        <f>4.075/O61</f>
        <v>253.112194263878</v>
      </c>
    </row>
    <row r="63" ht="12.75">
      <c r="I63" s="48"/>
    </row>
    <row r="64" spans="1:15" ht="12.75">
      <c r="A64" s="32"/>
      <c r="B64" s="33" t="s">
        <v>55</v>
      </c>
      <c r="C64" s="32"/>
      <c r="D64" s="32"/>
      <c r="E64" s="32"/>
      <c r="F64" s="32"/>
      <c r="G64" s="32"/>
      <c r="H64" s="32"/>
      <c r="I64" s="191"/>
      <c r="J64" s="32"/>
      <c r="K64" s="32"/>
      <c r="L64" s="32"/>
      <c r="M64" s="32"/>
      <c r="N64" s="32"/>
      <c r="O64" s="32"/>
    </row>
    <row r="65" spans="1:15" ht="12.75">
      <c r="A65" t="s">
        <v>8</v>
      </c>
      <c r="B65" t="s">
        <v>29</v>
      </c>
      <c r="E65" s="5">
        <v>1.44</v>
      </c>
      <c r="F65" s="5">
        <v>1.44</v>
      </c>
      <c r="G65" s="5">
        <v>1.44</v>
      </c>
      <c r="H65" s="5">
        <v>1.44</v>
      </c>
      <c r="I65" s="193">
        <v>1.44</v>
      </c>
      <c r="J65" s="5">
        <v>1.44</v>
      </c>
      <c r="K65" s="5">
        <v>1.44</v>
      </c>
      <c r="L65" s="5">
        <v>1.44</v>
      </c>
      <c r="M65" s="5">
        <v>1.44</v>
      </c>
      <c r="N65" s="5">
        <v>1.44</v>
      </c>
      <c r="O65" s="5">
        <v>1.44</v>
      </c>
    </row>
    <row r="66" spans="1:15" ht="12.75">
      <c r="A66" t="s">
        <v>8</v>
      </c>
      <c r="B66" t="s">
        <v>41</v>
      </c>
      <c r="E66" s="3">
        <v>0.057</v>
      </c>
      <c r="F66" s="3">
        <v>0.057</v>
      </c>
      <c r="G66" s="3">
        <v>0.057</v>
      </c>
      <c r="H66" s="3">
        <v>0.057</v>
      </c>
      <c r="I66" s="61">
        <v>0.057</v>
      </c>
      <c r="J66" s="3">
        <v>0.057</v>
      </c>
      <c r="K66" s="3">
        <v>0.057</v>
      </c>
      <c r="L66" s="3">
        <v>0.057</v>
      </c>
      <c r="M66" s="3">
        <v>0.057</v>
      </c>
      <c r="N66" s="3">
        <v>0.057</v>
      </c>
      <c r="O66" s="3">
        <v>0.057</v>
      </c>
    </row>
    <row r="67" spans="1:15" ht="12.75">
      <c r="A67" t="s">
        <v>8</v>
      </c>
      <c r="B67" t="s">
        <v>30</v>
      </c>
      <c r="E67" s="3">
        <v>0</v>
      </c>
      <c r="F67" s="3">
        <v>0</v>
      </c>
      <c r="G67" s="3">
        <v>0</v>
      </c>
      <c r="H67" s="3">
        <v>0</v>
      </c>
      <c r="I67" s="61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ht="12.75">
      <c r="A68" t="s">
        <v>8</v>
      </c>
      <c r="B68" t="s">
        <v>31</v>
      </c>
      <c r="E68" s="4">
        <v>0.14</v>
      </c>
      <c r="F68" s="4">
        <v>0.14</v>
      </c>
      <c r="G68" s="4">
        <v>0.14</v>
      </c>
      <c r="H68" s="4">
        <v>0.14</v>
      </c>
      <c r="I68" s="62">
        <v>0.14</v>
      </c>
      <c r="J68" s="4">
        <v>0.14</v>
      </c>
      <c r="K68" s="4">
        <v>0.14</v>
      </c>
      <c r="L68" s="4">
        <v>0.14</v>
      </c>
      <c r="M68" s="4">
        <v>0.14</v>
      </c>
      <c r="N68" s="4">
        <v>0.14</v>
      </c>
      <c r="O68" s="4">
        <v>0.14</v>
      </c>
    </row>
    <row r="69" spans="5:15" ht="12.75">
      <c r="E69" s="25"/>
      <c r="F69" s="25"/>
      <c r="G69" s="25"/>
      <c r="H69" s="25"/>
      <c r="I69" s="63"/>
      <c r="J69" s="25"/>
      <c r="K69" s="25"/>
      <c r="L69" s="25"/>
      <c r="M69" s="25"/>
      <c r="N69" s="25"/>
      <c r="O69" s="25"/>
    </row>
    <row r="70" spans="5:15" ht="12.75">
      <c r="E70" s="28">
        <f>63.2-15*LN(E19+E65)</f>
        <v>46.31658663224216</v>
      </c>
      <c r="F70" s="28">
        <f aca="true" t="shared" si="25" ref="F70:M70">63.2-15*LN(F19+F65)</f>
        <v>29.346951556060105</v>
      </c>
      <c r="G70" s="28">
        <f t="shared" si="25"/>
        <v>34.76814345404081</v>
      </c>
      <c r="H70" s="28">
        <f t="shared" si="25"/>
        <v>21.231019434331216</v>
      </c>
      <c r="I70" s="64">
        <f>63.2-15*LN(I19+I65)</f>
        <v>47.03882548118408</v>
      </c>
      <c r="J70" s="28">
        <f t="shared" si="25"/>
        <v>45.40470525538203</v>
      </c>
      <c r="K70" s="28">
        <f t="shared" si="25"/>
        <v>33.51583727468004</v>
      </c>
      <c r="L70" s="28">
        <f t="shared" si="25"/>
        <v>34.55202987193656</v>
      </c>
      <c r="M70" s="28">
        <f t="shared" si="25"/>
        <v>51.95641386472247</v>
      </c>
      <c r="N70" s="28">
        <f>63.2-15*LN(N19+N65)</f>
        <v>26.71126158265004</v>
      </c>
      <c r="O70" s="28">
        <f>63.2-15*LN(O19+O65)</f>
        <v>41.528137434682606</v>
      </c>
    </row>
    <row r="71" spans="5:15" ht="12.75">
      <c r="E71" s="18">
        <f>-0.1167*(E19+E65)</f>
        <v>-0.35966298150000003</v>
      </c>
      <c r="F71" s="18">
        <f aca="true" t="shared" si="26" ref="F71:M71">-0.1167*(F19+F65)</f>
        <v>-1.1148514379999999</v>
      </c>
      <c r="G71" s="18">
        <f t="shared" si="26"/>
        <v>-0.776707353</v>
      </c>
      <c r="H71" s="18">
        <f t="shared" si="26"/>
        <v>-1.9151257725000002</v>
      </c>
      <c r="I71" s="58">
        <f>-0.1167*(I19+I65)</f>
        <v>-0.34275577725000006</v>
      </c>
      <c r="J71" s="18">
        <f t="shared" si="26"/>
        <v>-0.38220592049999996</v>
      </c>
      <c r="K71" s="18">
        <f t="shared" si="26"/>
        <v>-0.8443361699999999</v>
      </c>
      <c r="L71" s="18">
        <f t="shared" si="26"/>
        <v>-0.7879788225</v>
      </c>
      <c r="M71" s="18">
        <f t="shared" si="26"/>
        <v>-0.2469482865</v>
      </c>
      <c r="N71" s="18">
        <f>-0.1167*(N19+N65)</f>
        <v>-1.3290093585</v>
      </c>
      <c r="O71" s="18">
        <f>-0.1167*(O19+O65)</f>
        <v>-0.4949206154999999</v>
      </c>
    </row>
    <row r="72" spans="3:15" ht="12.75">
      <c r="C72" s="14" t="s">
        <v>21</v>
      </c>
      <c r="E72" s="28">
        <f>72.9*EXP(E71)</f>
        <v>50.87774802384042</v>
      </c>
      <c r="F72" s="28">
        <f aca="true" t="shared" si="27" ref="F72:M72">72.9*EXP(F71)</f>
        <v>23.908575473743493</v>
      </c>
      <c r="G72" s="28">
        <f t="shared" si="27"/>
        <v>33.52801258614004</v>
      </c>
      <c r="H72" s="28">
        <f t="shared" si="27"/>
        <v>10.739868730442247</v>
      </c>
      <c r="I72" s="64">
        <f t="shared" si="27"/>
        <v>51.745261449748924</v>
      </c>
      <c r="J72" s="28">
        <f t="shared" si="27"/>
        <v>49.7436450876861</v>
      </c>
      <c r="K72" s="28">
        <f t="shared" si="27"/>
        <v>31.335525972979713</v>
      </c>
      <c r="L72" s="28">
        <f t="shared" si="27"/>
        <v>33.15222443574172</v>
      </c>
      <c r="M72" s="28">
        <f t="shared" si="27"/>
        <v>56.94810146793617</v>
      </c>
      <c r="N72" s="28">
        <f>72.9*EXP(N71)</f>
        <v>19.299501769283854</v>
      </c>
      <c r="O72" s="28">
        <f>72.9*EXP(O71)</f>
        <v>44.44124694804089</v>
      </c>
    </row>
    <row r="73" spans="5:15" ht="12.75">
      <c r="E73" s="22">
        <f>AVERAGE(E70,E72)</f>
        <v>48.597167328041294</v>
      </c>
      <c r="F73" s="22">
        <f aca="true" t="shared" si="28" ref="F73:M73">AVERAGE(F70,F72)</f>
        <v>26.6277635149018</v>
      </c>
      <c r="G73" s="22">
        <f t="shared" si="28"/>
        <v>34.14807802009042</v>
      </c>
      <c r="H73" s="22">
        <v>20</v>
      </c>
      <c r="I73" s="59">
        <f t="shared" si="28"/>
        <v>49.3920434654665</v>
      </c>
      <c r="J73" s="22">
        <f t="shared" si="28"/>
        <v>47.574175171534065</v>
      </c>
      <c r="K73" s="22">
        <f t="shared" si="28"/>
        <v>32.425681623829874</v>
      </c>
      <c r="L73" s="22">
        <f t="shared" si="28"/>
        <v>33.85212715383914</v>
      </c>
      <c r="M73" s="22">
        <f t="shared" si="28"/>
        <v>54.45225766632932</v>
      </c>
      <c r="N73" s="22">
        <f>AVERAGE(N70,N72)</f>
        <v>23.005381675966944</v>
      </c>
      <c r="O73" s="22">
        <f>AVERAGE(O70,O72)</f>
        <v>42.984692191361745</v>
      </c>
    </row>
    <row r="74" spans="5:15" ht="12.75">
      <c r="E74" s="194"/>
      <c r="F74" s="194"/>
      <c r="G74" s="194"/>
      <c r="H74" s="194"/>
      <c r="I74" s="195"/>
      <c r="J74" s="194"/>
      <c r="K74" s="194"/>
      <c r="L74" s="194"/>
      <c r="M74" s="194"/>
      <c r="N74" s="194"/>
      <c r="O74" s="194"/>
    </row>
    <row r="75" spans="1:15" ht="12.75">
      <c r="A75" s="32"/>
      <c r="B75" s="33" t="s">
        <v>32</v>
      </c>
      <c r="C75" s="32"/>
      <c r="D75" s="32"/>
      <c r="E75" s="32"/>
      <c r="F75" s="32"/>
      <c r="G75" s="32"/>
      <c r="H75" s="32"/>
      <c r="I75" s="191"/>
      <c r="J75" s="32"/>
      <c r="K75" s="32"/>
      <c r="L75" s="32"/>
      <c r="M75" s="32"/>
      <c r="N75" s="32"/>
      <c r="O75" s="32"/>
    </row>
    <row r="76" spans="1:15" ht="12.75">
      <c r="A76" t="s">
        <v>8</v>
      </c>
      <c r="B76" t="s">
        <v>86</v>
      </c>
      <c r="D76" s="20"/>
      <c r="E76" s="26">
        <f>E65*E73/100</f>
        <v>0.6997992095237946</v>
      </c>
      <c r="F76" s="26">
        <f aca="true" t="shared" si="29" ref="F76:O76">F65*F73/100</f>
        <v>0.38343979461458594</v>
      </c>
      <c r="G76" s="26">
        <f t="shared" si="29"/>
        <v>0.49173232348930207</v>
      </c>
      <c r="H76" s="26">
        <f t="shared" si="29"/>
        <v>0.288</v>
      </c>
      <c r="I76" s="187">
        <f t="shared" si="29"/>
        <v>0.7112454259027176</v>
      </c>
      <c r="J76" s="26">
        <f t="shared" si="29"/>
        <v>0.6850681224700905</v>
      </c>
      <c r="K76" s="26">
        <f t="shared" si="29"/>
        <v>0.46692981538315015</v>
      </c>
      <c r="L76" s="26">
        <f t="shared" si="29"/>
        <v>0.4874706310152836</v>
      </c>
      <c r="M76" s="26">
        <f t="shared" si="29"/>
        <v>0.7841125103951421</v>
      </c>
      <c r="N76" s="26">
        <f t="shared" si="29"/>
        <v>0.331277496133924</v>
      </c>
      <c r="O76" s="26">
        <f t="shared" si="29"/>
        <v>0.6189795675556091</v>
      </c>
    </row>
    <row r="77" spans="1:15" ht="12.75">
      <c r="A77" t="s">
        <v>8</v>
      </c>
      <c r="B77" t="s">
        <v>87</v>
      </c>
      <c r="D77" s="21"/>
      <c r="E77" s="3">
        <f>(E66+E67)*1</f>
        <v>0.057</v>
      </c>
      <c r="F77" s="3">
        <f aca="true" t="shared" si="30" ref="F77:O77">(F66+F67)*1</f>
        <v>0.057</v>
      </c>
      <c r="G77" s="3">
        <f t="shared" si="30"/>
        <v>0.057</v>
      </c>
      <c r="H77" s="3">
        <f t="shared" si="30"/>
        <v>0.057</v>
      </c>
      <c r="I77" s="188">
        <f t="shared" si="30"/>
        <v>0.057</v>
      </c>
      <c r="J77" s="3">
        <f t="shared" si="30"/>
        <v>0.057</v>
      </c>
      <c r="K77" s="3">
        <f t="shared" si="30"/>
        <v>0.057</v>
      </c>
      <c r="L77" s="3">
        <f t="shared" si="30"/>
        <v>0.057</v>
      </c>
      <c r="M77" s="3">
        <f t="shared" si="30"/>
        <v>0.057</v>
      </c>
      <c r="N77" s="3">
        <f t="shared" si="30"/>
        <v>0.057</v>
      </c>
      <c r="O77" s="3">
        <f t="shared" si="30"/>
        <v>0.057</v>
      </c>
    </row>
    <row r="78" spans="1:15" ht="12.75">
      <c r="A78" t="s">
        <v>8</v>
      </c>
      <c r="B78" t="s">
        <v>88</v>
      </c>
      <c r="D78" s="7"/>
      <c r="E78" s="27">
        <f>E68*0.3/100</f>
        <v>0.00042</v>
      </c>
      <c r="F78" s="27">
        <f aca="true" t="shared" si="31" ref="F78:O78">F68*0.3/100</f>
        <v>0.00042</v>
      </c>
      <c r="G78" s="27">
        <f t="shared" si="31"/>
        <v>0.00042</v>
      </c>
      <c r="H78" s="27">
        <f t="shared" si="31"/>
        <v>0.00042</v>
      </c>
      <c r="I78" s="189">
        <f t="shared" si="31"/>
        <v>0.00042</v>
      </c>
      <c r="J78" s="27">
        <f t="shared" si="31"/>
        <v>0.00042</v>
      </c>
      <c r="K78" s="27">
        <f t="shared" si="31"/>
        <v>0.00042</v>
      </c>
      <c r="L78" s="27">
        <f t="shared" si="31"/>
        <v>0.00042</v>
      </c>
      <c r="M78" s="27">
        <f t="shared" si="31"/>
        <v>0.00042</v>
      </c>
      <c r="N78" s="27">
        <f t="shared" si="31"/>
        <v>0.00042</v>
      </c>
      <c r="O78" s="27">
        <f t="shared" si="31"/>
        <v>0.00042</v>
      </c>
    </row>
    <row r="79" spans="1:15" ht="12.75">
      <c r="A79" s="41" t="s">
        <v>8</v>
      </c>
      <c r="B79" s="41" t="s">
        <v>89</v>
      </c>
      <c r="C79" s="247"/>
      <c r="D79" s="247"/>
      <c r="E79" s="310">
        <f>SUM(E76:E78)</f>
        <v>0.7572192095237946</v>
      </c>
      <c r="F79" s="310">
        <f aca="true" t="shared" si="32" ref="F79:O79">SUM(F76:F78)</f>
        <v>0.4408597946145859</v>
      </c>
      <c r="G79" s="310">
        <f t="shared" si="32"/>
        <v>0.5491523234893021</v>
      </c>
      <c r="H79" s="310">
        <f t="shared" si="32"/>
        <v>0.34541999999999995</v>
      </c>
      <c r="I79" s="311">
        <f t="shared" si="32"/>
        <v>0.7686654259027176</v>
      </c>
      <c r="J79" s="310">
        <f t="shared" si="32"/>
        <v>0.7424881224700906</v>
      </c>
      <c r="K79" s="310">
        <f t="shared" si="32"/>
        <v>0.5243498153831502</v>
      </c>
      <c r="L79" s="310">
        <f t="shared" si="32"/>
        <v>0.5448906310152836</v>
      </c>
      <c r="M79" s="310">
        <f t="shared" si="32"/>
        <v>0.8415325103951421</v>
      </c>
      <c r="N79" s="310">
        <f t="shared" si="32"/>
        <v>0.38869749613392396</v>
      </c>
      <c r="O79" s="310">
        <f t="shared" si="32"/>
        <v>0.6763995675556091</v>
      </c>
    </row>
    <row r="80" spans="1:15" ht="12.75">
      <c r="A80" s="24" t="s">
        <v>39</v>
      </c>
      <c r="B80" s="24" t="s">
        <v>89</v>
      </c>
      <c r="E80" s="72">
        <f>E79/70</f>
        <v>0.010817417278911352</v>
      </c>
      <c r="F80" s="72">
        <f aca="true" t="shared" si="33" ref="F80:O80">F79/70</f>
        <v>0.006297997065922656</v>
      </c>
      <c r="G80" s="72">
        <f t="shared" si="33"/>
        <v>0.007845033192704316</v>
      </c>
      <c r="H80" s="72">
        <f t="shared" si="33"/>
        <v>0.004934571428571428</v>
      </c>
      <c r="I80" s="190">
        <f t="shared" si="33"/>
        <v>0.010980934655753108</v>
      </c>
      <c r="J80" s="72">
        <f t="shared" si="33"/>
        <v>0.010606973178144151</v>
      </c>
      <c r="K80" s="72">
        <f t="shared" si="33"/>
        <v>0.007490711648330717</v>
      </c>
      <c r="L80" s="72">
        <f t="shared" si="33"/>
        <v>0.007784151871646908</v>
      </c>
      <c r="M80" s="72">
        <f t="shared" si="33"/>
        <v>0.012021893005644888</v>
      </c>
      <c r="N80" s="72">
        <f t="shared" si="33"/>
        <v>0.005552821373341771</v>
      </c>
      <c r="O80" s="72">
        <f t="shared" si="33"/>
        <v>0.009662850965080131</v>
      </c>
    </row>
    <row r="81" spans="5:15" ht="12.75">
      <c r="E81" s="72"/>
      <c r="F81" s="72"/>
      <c r="G81" s="72"/>
      <c r="H81" s="72"/>
      <c r="I81" s="190"/>
      <c r="J81" s="72"/>
      <c r="K81" s="72"/>
      <c r="L81" s="72"/>
      <c r="M81" s="72"/>
      <c r="N81" s="72"/>
      <c r="O81" s="72"/>
    </row>
    <row r="82" spans="1:15" ht="12.75">
      <c r="A82" t="s">
        <v>8</v>
      </c>
      <c r="B82" t="s">
        <v>90</v>
      </c>
      <c r="E82" s="317">
        <f>E73*E19*(240/365)/(100)</f>
        <v>0.5246720607678297</v>
      </c>
      <c r="F82" s="317">
        <f aca="true" t="shared" si="34" ref="F82:O82">F73*F19*(240/365)/(100)</f>
        <v>1.4205026188490324</v>
      </c>
      <c r="G82" s="317">
        <f t="shared" si="34"/>
        <v>1.1710841045970637</v>
      </c>
      <c r="H82" s="317">
        <f t="shared" si="34"/>
        <v>1.968746301369863</v>
      </c>
      <c r="I82" s="320">
        <f t="shared" si="34"/>
        <v>0.4862020144486835</v>
      </c>
      <c r="J82" s="317">
        <f t="shared" si="34"/>
        <v>0.5740542408980365</v>
      </c>
      <c r="K82" s="317">
        <f t="shared" si="34"/>
        <v>1.2355730470899058</v>
      </c>
      <c r="L82" s="317">
        <f t="shared" si="34"/>
        <v>1.1824334700062165</v>
      </c>
      <c r="M82" s="317">
        <f t="shared" si="34"/>
        <v>0.24207056973315239</v>
      </c>
      <c r="N82" s="317">
        <f t="shared" si="34"/>
        <v>1.5048552544757032</v>
      </c>
      <c r="O82" s="317">
        <f t="shared" si="34"/>
        <v>0.7916621481453865</v>
      </c>
    </row>
    <row r="83" spans="1:15" ht="12.75">
      <c r="A83" t="s">
        <v>8</v>
      </c>
      <c r="B83" t="s">
        <v>91</v>
      </c>
      <c r="E83" s="318">
        <f>E55*0.3*(240/365)/(100)</f>
        <v>0.16767123287671232</v>
      </c>
      <c r="F83" s="318">
        <f aca="true" t="shared" si="35" ref="F83:O83">F55*0.3*(240/365)/(100)</f>
        <v>0.16767123287671232</v>
      </c>
      <c r="G83" s="318">
        <f t="shared" si="35"/>
        <v>0.16767123287671232</v>
      </c>
      <c r="H83" s="318">
        <f t="shared" si="35"/>
        <v>0.16767123287671232</v>
      </c>
      <c r="I83" s="321">
        <f t="shared" si="35"/>
        <v>0.16964383561643837</v>
      </c>
      <c r="J83" s="318">
        <f t="shared" si="35"/>
        <v>0.16767123287671232</v>
      </c>
      <c r="K83" s="318">
        <f t="shared" si="35"/>
        <v>0.16767123287671232</v>
      </c>
      <c r="L83" s="318">
        <f t="shared" si="35"/>
        <v>0.16767123287671232</v>
      </c>
      <c r="M83" s="318">
        <f t="shared" si="35"/>
        <v>0.16767123287671232</v>
      </c>
      <c r="N83" s="318">
        <f t="shared" si="35"/>
        <v>0.16767123287671232</v>
      </c>
      <c r="O83" s="318">
        <f t="shared" si="35"/>
        <v>0.16767123287671232</v>
      </c>
    </row>
    <row r="84" spans="1:15" ht="12.75">
      <c r="A84" t="s">
        <v>8</v>
      </c>
      <c r="B84" t="s">
        <v>92</v>
      </c>
      <c r="E84" s="319">
        <f>E48*(240/365)</f>
        <v>0.02078005479452055</v>
      </c>
      <c r="F84" s="319">
        <f aca="true" t="shared" si="36" ref="F84:O84">F48*(240/365)</f>
        <v>0.10267791780821918</v>
      </c>
      <c r="G84" s="319">
        <f t="shared" si="36"/>
        <v>0.06600723287671233</v>
      </c>
      <c r="H84" s="319">
        <f t="shared" si="36"/>
        <v>0.18946520547945203</v>
      </c>
      <c r="I84" s="322">
        <f t="shared" si="36"/>
        <v>0.018946520547945205</v>
      </c>
      <c r="J84" s="319">
        <f t="shared" si="36"/>
        <v>0.02322476712328767</v>
      </c>
      <c r="K84" s="319">
        <f t="shared" si="36"/>
        <v>0.07334136986301369</v>
      </c>
      <c r="L84" s="319">
        <f t="shared" si="36"/>
        <v>0.06722958904109588</v>
      </c>
      <c r="M84" s="319">
        <f t="shared" si="36"/>
        <v>0.008556493150684932</v>
      </c>
      <c r="N84" s="319">
        <f t="shared" si="36"/>
        <v>0.12590268493150686</v>
      </c>
      <c r="O84" s="319">
        <f t="shared" si="36"/>
        <v>0.03544832876712328</v>
      </c>
    </row>
    <row r="85" spans="1:15" ht="12.75">
      <c r="A85" s="41" t="s">
        <v>8</v>
      </c>
      <c r="B85" s="41" t="s">
        <v>93</v>
      </c>
      <c r="C85" s="247"/>
      <c r="D85" s="247"/>
      <c r="E85" s="310">
        <f>SUM(E82:E84)</f>
        <v>0.7131233484390624</v>
      </c>
      <c r="F85" s="310">
        <f aca="true" t="shared" si="37" ref="F85:O85">SUM(F82:F84)</f>
        <v>1.6908517695339638</v>
      </c>
      <c r="G85" s="310">
        <f t="shared" si="37"/>
        <v>1.4047625703504882</v>
      </c>
      <c r="H85" s="310">
        <f t="shared" si="37"/>
        <v>2.325882739726027</v>
      </c>
      <c r="I85" s="311">
        <f t="shared" si="37"/>
        <v>0.6747923706130671</v>
      </c>
      <c r="J85" s="310">
        <f t="shared" si="37"/>
        <v>0.7649502408980364</v>
      </c>
      <c r="K85" s="310">
        <f t="shared" si="37"/>
        <v>1.4765856498296317</v>
      </c>
      <c r="L85" s="310">
        <f t="shared" si="37"/>
        <v>1.4173342919240246</v>
      </c>
      <c r="M85" s="310">
        <f t="shared" si="37"/>
        <v>0.4182982957605496</v>
      </c>
      <c r="N85" s="310">
        <f t="shared" si="37"/>
        <v>1.7984291722839223</v>
      </c>
      <c r="O85" s="310">
        <f t="shared" si="37"/>
        <v>0.994781709789222</v>
      </c>
    </row>
    <row r="86" spans="1:15" ht="12.75">
      <c r="A86" s="24" t="s">
        <v>39</v>
      </c>
      <c r="B86" s="24" t="s">
        <v>93</v>
      </c>
      <c r="E86" s="72">
        <f aca="true" t="shared" si="38" ref="E86:O86">E85/70</f>
        <v>0.01018747640627232</v>
      </c>
      <c r="F86" s="72">
        <f t="shared" si="38"/>
        <v>0.024155025279056625</v>
      </c>
      <c r="G86" s="72">
        <f t="shared" si="38"/>
        <v>0.02006803671929269</v>
      </c>
      <c r="H86" s="72">
        <f t="shared" si="38"/>
        <v>0.03322689628180039</v>
      </c>
      <c r="I86" s="190">
        <f t="shared" si="38"/>
        <v>0.009639891008758101</v>
      </c>
      <c r="J86" s="72">
        <f t="shared" si="38"/>
        <v>0.010927860584257662</v>
      </c>
      <c r="K86" s="72">
        <f t="shared" si="38"/>
        <v>0.02109408071185188</v>
      </c>
      <c r="L86" s="72">
        <f t="shared" si="38"/>
        <v>0.02024763274177178</v>
      </c>
      <c r="M86" s="72">
        <f t="shared" si="38"/>
        <v>0.005975689939436423</v>
      </c>
      <c r="N86" s="72">
        <f t="shared" si="38"/>
        <v>0.025691845318341747</v>
      </c>
      <c r="O86" s="72">
        <f t="shared" si="38"/>
        <v>0.014211167282703172</v>
      </c>
    </row>
    <row r="87" spans="5:15" ht="13.5" thickBot="1">
      <c r="E87" s="72"/>
      <c r="F87" s="72"/>
      <c r="G87" s="72"/>
      <c r="H87" s="72"/>
      <c r="I87" s="190"/>
      <c r="J87" s="72"/>
      <c r="K87" s="72"/>
      <c r="L87" s="72"/>
      <c r="M87" s="72"/>
      <c r="N87" s="72"/>
      <c r="O87" s="72"/>
    </row>
    <row r="88" spans="1:15" ht="38.25" customHeight="1">
      <c r="A88" s="45" t="s">
        <v>8</v>
      </c>
      <c r="B88" s="332" t="s">
        <v>32</v>
      </c>
      <c r="C88" s="333"/>
      <c r="D88" s="333"/>
      <c r="E88" s="42">
        <f>E79+E85</f>
        <v>1.470342557962857</v>
      </c>
      <c r="F88" s="42">
        <f>F79+F85</f>
        <v>2.13171156414855</v>
      </c>
      <c r="G88" s="42">
        <f>G79+G85</f>
        <v>1.9539148938397903</v>
      </c>
      <c r="H88" s="42">
        <f>H79+H85</f>
        <v>2.671302739726027</v>
      </c>
      <c r="I88" s="80">
        <f>I79+I85</f>
        <v>1.4434577965157847</v>
      </c>
      <c r="J88" s="42">
        <f aca="true" t="shared" si="39" ref="J88:O88">J79+J85</f>
        <v>1.507438363368127</v>
      </c>
      <c r="K88" s="42">
        <f t="shared" si="39"/>
        <v>2.0009354652127818</v>
      </c>
      <c r="L88" s="42">
        <f t="shared" si="39"/>
        <v>1.962224922939308</v>
      </c>
      <c r="M88" s="42">
        <f t="shared" si="39"/>
        <v>1.2598308061556918</v>
      </c>
      <c r="N88" s="42">
        <f t="shared" si="39"/>
        <v>2.187126668417846</v>
      </c>
      <c r="O88" s="42">
        <f t="shared" si="39"/>
        <v>1.6711812773448311</v>
      </c>
    </row>
    <row r="89" spans="1:15" ht="12.75">
      <c r="A89" s="36" t="s">
        <v>39</v>
      </c>
      <c r="B89" s="35"/>
      <c r="C89" s="23"/>
      <c r="D89" s="23"/>
      <c r="E89" s="43">
        <f>E88/70</f>
        <v>0.021004893685183674</v>
      </c>
      <c r="F89" s="43">
        <f>F88/70</f>
        <v>0.03045302234497928</v>
      </c>
      <c r="G89" s="43">
        <f>G88/70</f>
        <v>0.027913069911997004</v>
      </c>
      <c r="H89" s="43">
        <f>H88/70</f>
        <v>0.038161467710371814</v>
      </c>
      <c r="I89" s="81">
        <f>I88/70</f>
        <v>0.02062082566451121</v>
      </c>
      <c r="J89" s="43">
        <f aca="true" t="shared" si="40" ref="J89:O89">J88/70</f>
        <v>0.021534833762401815</v>
      </c>
      <c r="K89" s="43">
        <f t="shared" si="40"/>
        <v>0.028584792360182597</v>
      </c>
      <c r="L89" s="43">
        <f t="shared" si="40"/>
        <v>0.028031784613418688</v>
      </c>
      <c r="M89" s="43">
        <f t="shared" si="40"/>
        <v>0.01799758294508131</v>
      </c>
      <c r="N89" s="43">
        <f t="shared" si="40"/>
        <v>0.031244666691683517</v>
      </c>
      <c r="O89" s="43">
        <f t="shared" si="40"/>
        <v>0.0238740182477833</v>
      </c>
    </row>
    <row r="90" spans="2:15" ht="13.5" thickBot="1">
      <c r="B90" s="37"/>
      <c r="C90" s="38" t="s">
        <v>40</v>
      </c>
      <c r="D90" s="39"/>
      <c r="E90" s="44">
        <f>4.075/E89</f>
        <v>194.00241015618198</v>
      </c>
      <c r="F90" s="44">
        <f>4.075/F89</f>
        <v>133.81266246211638</v>
      </c>
      <c r="G90" s="44">
        <f>4.075/G89</f>
        <v>145.98895832122608</v>
      </c>
      <c r="H90" s="44">
        <f>4.075/H89</f>
        <v>106.7831046470067</v>
      </c>
      <c r="I90" s="169">
        <f>4.075/I89</f>
        <v>197.61575342800867</v>
      </c>
      <c r="J90" s="44">
        <f aca="true" t="shared" si="41" ref="J90:O90">4.075/J89</f>
        <v>189.2283007596112</v>
      </c>
      <c r="K90" s="44">
        <f t="shared" si="41"/>
        <v>142.5583208250378</v>
      </c>
      <c r="L90" s="44">
        <f t="shared" si="41"/>
        <v>145.3706945953529</v>
      </c>
      <c r="M90" s="44">
        <f t="shared" si="41"/>
        <v>226.41929265916713</v>
      </c>
      <c r="N90" s="44">
        <f t="shared" si="41"/>
        <v>130.422258627731</v>
      </c>
      <c r="O90" s="44">
        <f t="shared" si="41"/>
        <v>170.6876470356373</v>
      </c>
    </row>
    <row r="92" spans="5:15" ht="12.75">
      <c r="E92" s="20"/>
      <c r="F92" s="20"/>
      <c r="G92" s="20"/>
      <c r="H92" s="20"/>
      <c r="I92" s="316"/>
      <c r="J92" s="20"/>
      <c r="K92" s="20"/>
      <c r="L92" s="20"/>
      <c r="M92" s="20"/>
      <c r="N92" s="20"/>
      <c r="O92" s="20"/>
    </row>
  </sheetData>
  <sheetProtection/>
  <mergeCells count="2">
    <mergeCell ref="B88:D88"/>
    <mergeCell ref="B60:D60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41">
      <selection activeCell="M3" sqref="M3"/>
    </sheetView>
  </sheetViews>
  <sheetFormatPr defaultColWidth="9.140625" defaultRowHeight="12.75"/>
  <cols>
    <col min="3" max="3" width="13.7109375" style="0" customWidth="1"/>
    <col min="4" max="4" width="12.140625" style="0" customWidth="1"/>
    <col min="5" max="5" width="11.28125" style="0" customWidth="1"/>
    <col min="6" max="6" width="10.57421875" style="0" customWidth="1"/>
    <col min="7" max="7" width="10.8515625" style="0" customWidth="1"/>
    <col min="8" max="8" width="10.57421875" style="0" customWidth="1"/>
  </cols>
  <sheetData>
    <row r="1" spans="1:10" ht="12.75">
      <c r="A1" s="1" t="s">
        <v>101</v>
      </c>
      <c r="B1" s="1"/>
      <c r="C1" s="1"/>
      <c r="D1" s="2"/>
      <c r="E1" s="2"/>
      <c r="F1" s="2"/>
      <c r="G1" s="2"/>
      <c r="H1" s="2"/>
      <c r="I1" s="2"/>
      <c r="J1" s="2"/>
    </row>
    <row r="2" spans="1:10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</row>
    <row r="3" spans="2:4" ht="12.75">
      <c r="B3" s="75" t="s">
        <v>1</v>
      </c>
      <c r="C3" s="15" t="s">
        <v>2</v>
      </c>
      <c r="D3" s="76" t="s">
        <v>3</v>
      </c>
    </row>
    <row r="5" spans="1:10" s="25" customFormat="1" ht="12.75">
      <c r="A5" s="32"/>
      <c r="B5" s="33" t="s">
        <v>53</v>
      </c>
      <c r="C5" s="32"/>
      <c r="D5" s="32"/>
      <c r="E5" s="34"/>
      <c r="F5" s="32"/>
      <c r="G5" s="32"/>
      <c r="H5" s="32"/>
      <c r="I5" s="32"/>
      <c r="J5" s="32"/>
    </row>
    <row r="6" spans="2:5" s="25" customFormat="1" ht="12.75">
      <c r="B6" s="74" t="s">
        <v>4</v>
      </c>
      <c r="E6" s="8"/>
    </row>
    <row r="7" spans="1:10" ht="12.75">
      <c r="A7" t="s">
        <v>6</v>
      </c>
      <c r="B7" t="s">
        <v>5</v>
      </c>
      <c r="E7" s="31">
        <v>0.03</v>
      </c>
      <c r="F7" s="31">
        <v>0.24</v>
      </c>
      <c r="G7" s="31">
        <v>0.12</v>
      </c>
      <c r="H7" s="31">
        <v>0.03</v>
      </c>
      <c r="I7" s="31">
        <v>0.1</v>
      </c>
      <c r="J7" s="31">
        <v>0.04</v>
      </c>
    </row>
    <row r="8" ht="12.75">
      <c r="E8" s="8"/>
    </row>
    <row r="9" spans="1:10" ht="12.75">
      <c r="A9" t="s">
        <v>8</v>
      </c>
      <c r="B9" t="s">
        <v>7</v>
      </c>
      <c r="E9" s="8">
        <f aca="true" t="shared" si="0" ref="E9:J9">E7*10</f>
        <v>0.3</v>
      </c>
      <c r="F9" s="8">
        <f t="shared" si="0"/>
        <v>2.4</v>
      </c>
      <c r="G9" s="8">
        <f t="shared" si="0"/>
        <v>1.2</v>
      </c>
      <c r="H9" s="8">
        <f t="shared" si="0"/>
        <v>0.3</v>
      </c>
      <c r="I9" s="8">
        <f t="shared" si="0"/>
        <v>1</v>
      </c>
      <c r="J9" s="8">
        <f t="shared" si="0"/>
        <v>0.4</v>
      </c>
    </row>
    <row r="10" spans="1:10" ht="12.75">
      <c r="A10" t="s">
        <v>9</v>
      </c>
      <c r="C10" t="s">
        <v>35</v>
      </c>
      <c r="D10" s="9"/>
      <c r="E10" s="8">
        <f aca="true" t="shared" si="1" ref="E10:J10">0.55*E9</f>
        <v>0.165</v>
      </c>
      <c r="F10" s="8">
        <f t="shared" si="1"/>
        <v>1.32</v>
      </c>
      <c r="G10" s="8">
        <f t="shared" si="1"/>
        <v>0.66</v>
      </c>
      <c r="H10" s="8">
        <f t="shared" si="1"/>
        <v>0.165</v>
      </c>
      <c r="I10" s="8">
        <f t="shared" si="1"/>
        <v>0.55</v>
      </c>
      <c r="J10" s="8">
        <f t="shared" si="1"/>
        <v>0.22000000000000003</v>
      </c>
    </row>
    <row r="11" spans="1:10" ht="12.75">
      <c r="A11" t="s">
        <v>9</v>
      </c>
      <c r="C11" t="s">
        <v>36</v>
      </c>
      <c r="D11" s="9"/>
      <c r="E11" s="8">
        <f aca="true" t="shared" si="2" ref="E11:J11">0.33*E9</f>
        <v>0.099</v>
      </c>
      <c r="F11" s="8">
        <f t="shared" si="2"/>
        <v>0.792</v>
      </c>
      <c r="G11" s="8">
        <f t="shared" si="2"/>
        <v>0.396</v>
      </c>
      <c r="H11" s="8">
        <f t="shared" si="2"/>
        <v>0.099</v>
      </c>
      <c r="I11" s="8">
        <f t="shared" si="2"/>
        <v>0.33</v>
      </c>
      <c r="J11" s="8">
        <f t="shared" si="2"/>
        <v>0.132</v>
      </c>
    </row>
    <row r="12" spans="1:10" ht="12.75">
      <c r="A12" t="s">
        <v>9</v>
      </c>
      <c r="C12" t="s">
        <v>37</v>
      </c>
      <c r="D12" s="9"/>
      <c r="E12" s="8">
        <f aca="true" t="shared" si="3" ref="E12:J12">0.12*E9</f>
        <v>0.036</v>
      </c>
      <c r="F12" s="8">
        <f t="shared" si="3"/>
        <v>0.288</v>
      </c>
      <c r="G12" s="8">
        <f t="shared" si="3"/>
        <v>0.144</v>
      </c>
      <c r="H12" s="8">
        <f t="shared" si="3"/>
        <v>0.036</v>
      </c>
      <c r="I12" s="8">
        <f t="shared" si="3"/>
        <v>0.12</v>
      </c>
      <c r="J12" s="8">
        <f t="shared" si="3"/>
        <v>0.048</v>
      </c>
    </row>
    <row r="13" spans="5:10" ht="12.75">
      <c r="E13" s="7"/>
      <c r="F13" s="7"/>
      <c r="G13" s="7"/>
      <c r="H13" s="7"/>
      <c r="I13" s="7"/>
      <c r="J13" s="7"/>
    </row>
    <row r="14" spans="1:10" ht="12.75">
      <c r="A14" t="s">
        <v>9</v>
      </c>
      <c r="B14" t="s">
        <v>10</v>
      </c>
      <c r="E14" s="10">
        <f aca="true" t="shared" si="4" ref="E14:J14">0.997*E10+0.942*E11+0.797*E12</f>
        <v>0.286455</v>
      </c>
      <c r="F14" s="10">
        <f t="shared" si="4"/>
        <v>2.29164</v>
      </c>
      <c r="G14" s="10">
        <f t="shared" si="4"/>
        <v>1.14582</v>
      </c>
      <c r="H14" s="10">
        <f t="shared" si="4"/>
        <v>0.286455</v>
      </c>
      <c r="I14" s="10">
        <f t="shared" si="4"/>
        <v>0.95485</v>
      </c>
      <c r="J14" s="10">
        <f t="shared" si="4"/>
        <v>0.38194000000000006</v>
      </c>
    </row>
    <row r="15" spans="1:10" ht="12.75">
      <c r="A15" t="s">
        <v>9</v>
      </c>
      <c r="B15" t="s">
        <v>11</v>
      </c>
      <c r="E15" s="11">
        <f aca="true" t="shared" si="5" ref="E15:J15">0.002*E10+0.018*E11+0.033*E12</f>
        <v>0.0033</v>
      </c>
      <c r="F15" s="11">
        <f t="shared" si="5"/>
        <v>0.0264</v>
      </c>
      <c r="G15" s="11">
        <f t="shared" si="5"/>
        <v>0.0132</v>
      </c>
      <c r="H15" s="11">
        <f t="shared" si="5"/>
        <v>0.0033</v>
      </c>
      <c r="I15" s="11">
        <f t="shared" si="5"/>
        <v>0.011</v>
      </c>
      <c r="J15" s="11">
        <f t="shared" si="5"/>
        <v>0.0044</v>
      </c>
    </row>
    <row r="16" spans="1:10" ht="12.75">
      <c r="A16" t="s">
        <v>9</v>
      </c>
      <c r="B16" t="s">
        <v>34</v>
      </c>
      <c r="E16" s="10">
        <f aca="true" t="shared" si="6" ref="E16:J16">0.0002*E10+0.028*E11+0.077*E12</f>
        <v>0.005577</v>
      </c>
      <c r="F16" s="10">
        <f t="shared" si="6"/>
        <v>0.044616</v>
      </c>
      <c r="G16" s="10">
        <f t="shared" si="6"/>
        <v>0.022308</v>
      </c>
      <c r="H16" s="10">
        <f t="shared" si="6"/>
        <v>0.005577</v>
      </c>
      <c r="I16" s="10">
        <f t="shared" si="6"/>
        <v>0.018590000000000002</v>
      </c>
      <c r="J16" s="10">
        <f t="shared" si="6"/>
        <v>0.007436</v>
      </c>
    </row>
    <row r="17" spans="5:10" ht="12.75">
      <c r="E17" s="10"/>
      <c r="F17" s="10"/>
      <c r="G17" s="10"/>
      <c r="H17" s="10"/>
      <c r="I17" s="10"/>
      <c r="J17" s="10"/>
    </row>
    <row r="18" spans="1:10" ht="12.75">
      <c r="A18" t="s">
        <v>8</v>
      </c>
      <c r="B18" t="s">
        <v>12</v>
      </c>
      <c r="E18" s="12">
        <f aca="true" t="shared" si="7" ref="E18:J18">E14+E15</f>
        <v>0.28975500000000004</v>
      </c>
      <c r="F18" s="12">
        <f t="shared" si="7"/>
        <v>2.3180400000000003</v>
      </c>
      <c r="G18" s="12">
        <f t="shared" si="7"/>
        <v>1.1590200000000002</v>
      </c>
      <c r="H18" s="12">
        <f t="shared" si="7"/>
        <v>0.28975500000000004</v>
      </c>
      <c r="I18" s="12">
        <f t="shared" si="7"/>
        <v>0.96585</v>
      </c>
      <c r="J18" s="12">
        <f t="shared" si="7"/>
        <v>0.3863400000000001</v>
      </c>
    </row>
    <row r="19" spans="1:10" ht="12.75">
      <c r="A19" t="s">
        <v>8</v>
      </c>
      <c r="B19" t="s">
        <v>13</v>
      </c>
      <c r="E19" s="13">
        <f aca="true" t="shared" si="8" ref="E19:J19">E16</f>
        <v>0.005577</v>
      </c>
      <c r="F19" s="13">
        <f t="shared" si="8"/>
        <v>0.044616</v>
      </c>
      <c r="G19" s="13">
        <f t="shared" si="8"/>
        <v>0.022308</v>
      </c>
      <c r="H19" s="13">
        <f t="shared" si="8"/>
        <v>0.005577</v>
      </c>
      <c r="I19" s="13">
        <f t="shared" si="8"/>
        <v>0.018590000000000002</v>
      </c>
      <c r="J19" s="13">
        <f t="shared" si="8"/>
        <v>0.007436</v>
      </c>
    </row>
    <row r="21" spans="2:10" ht="12.75" customHeight="1" hidden="1">
      <c r="B21" s="14" t="s">
        <v>14</v>
      </c>
      <c r="E21" s="7"/>
      <c r="F21" s="7"/>
      <c r="G21" s="7"/>
      <c r="H21" s="7"/>
      <c r="I21" s="7"/>
      <c r="J21" s="7"/>
    </row>
    <row r="22" spans="2:10" ht="12.75" customHeight="1" hidden="1">
      <c r="B22" t="s">
        <v>15</v>
      </c>
      <c r="E22" s="7"/>
      <c r="F22" s="7"/>
      <c r="G22" s="7"/>
      <c r="H22" s="7"/>
      <c r="I22" s="7"/>
      <c r="J22" s="7"/>
    </row>
    <row r="23" spans="5:10" ht="12.75" customHeight="1" hidden="1">
      <c r="E23" s="7"/>
      <c r="F23" s="7"/>
      <c r="G23" s="7"/>
      <c r="H23" s="7"/>
      <c r="I23" s="7"/>
      <c r="J23" s="7"/>
    </row>
    <row r="24" spans="2:10" ht="12.75" customHeight="1" hidden="1">
      <c r="B24" s="14" t="s">
        <v>16</v>
      </c>
      <c r="E24" s="7"/>
      <c r="F24" s="7"/>
      <c r="G24" s="7"/>
      <c r="H24" s="7"/>
      <c r="I24" s="7"/>
      <c r="J24" s="7"/>
    </row>
    <row r="25" spans="2:10" ht="12.75" customHeight="1" hidden="1">
      <c r="B25" t="s">
        <v>17</v>
      </c>
      <c r="E25" s="7">
        <v>2.25</v>
      </c>
      <c r="F25" s="7">
        <v>2.25</v>
      </c>
      <c r="G25" s="7">
        <v>2.25</v>
      </c>
      <c r="H25" s="7">
        <v>2.25</v>
      </c>
      <c r="I25" s="7">
        <v>2.25</v>
      </c>
      <c r="J25" s="7">
        <v>2.25</v>
      </c>
    </row>
    <row r="26" spans="2:10" ht="12.75" customHeight="1" hidden="1">
      <c r="B26" t="s">
        <v>7</v>
      </c>
      <c r="E26" s="7">
        <v>0.001</v>
      </c>
      <c r="F26" s="7">
        <v>0.001</v>
      </c>
      <c r="G26" s="7">
        <v>0.001</v>
      </c>
      <c r="H26" s="7">
        <v>0.001</v>
      </c>
      <c r="I26" s="7">
        <v>0.001</v>
      </c>
      <c r="J26" s="7">
        <v>0.001</v>
      </c>
    </row>
    <row r="27" spans="5:10" ht="12.75" customHeight="1" hidden="1">
      <c r="E27" s="7"/>
      <c r="F27" s="7"/>
      <c r="G27" s="7"/>
      <c r="H27" s="7"/>
      <c r="I27" s="7"/>
      <c r="J27" s="7"/>
    </row>
    <row r="28" spans="5:10" ht="12.75" customHeight="1" hidden="1">
      <c r="E28" s="7"/>
      <c r="F28" s="7"/>
      <c r="G28" s="7"/>
      <c r="H28" s="7"/>
      <c r="I28" s="7"/>
      <c r="J28" s="7"/>
    </row>
    <row r="29" spans="5:10" ht="12.75" customHeight="1" hidden="1">
      <c r="E29" s="7"/>
      <c r="F29" s="7"/>
      <c r="G29" s="7"/>
      <c r="H29" s="7"/>
      <c r="I29" s="7"/>
      <c r="J29" s="7"/>
    </row>
    <row r="30" spans="2:10" ht="12.75" customHeight="1" hidden="1">
      <c r="B30" t="s">
        <v>18</v>
      </c>
      <c r="E30" s="16">
        <f>E19+H26</f>
        <v>0.006577</v>
      </c>
      <c r="F30" s="16">
        <f>F19+I26</f>
        <v>0.045616000000000004</v>
      </c>
      <c r="G30" s="16">
        <f>G19+J26</f>
        <v>0.023308000000000002</v>
      </c>
      <c r="H30" s="16" t="e">
        <f>H19+#REF!</f>
        <v>#REF!</v>
      </c>
      <c r="I30" s="16" t="e">
        <f>I19+#REF!</f>
        <v>#REF!</v>
      </c>
      <c r="J30" s="16" t="e">
        <f>J19+#REF!</f>
        <v>#REF!</v>
      </c>
    </row>
    <row r="31" spans="2:10" ht="12.75" customHeight="1" hidden="1">
      <c r="B31" t="s">
        <v>19</v>
      </c>
      <c r="E31" s="17">
        <f>E18+H25</f>
        <v>2.539755</v>
      </c>
      <c r="F31" s="17">
        <f>F18+I25</f>
        <v>4.56804</v>
      </c>
      <c r="G31" s="17">
        <f>G18+J25</f>
        <v>3.40902</v>
      </c>
      <c r="H31" s="17" t="e">
        <f>H18+#REF!</f>
        <v>#REF!</v>
      </c>
      <c r="I31" s="17" t="e">
        <f>I18+#REF!</f>
        <v>#REF!</v>
      </c>
      <c r="J31" s="17" t="e">
        <f>J18+#REF!</f>
        <v>#REF!</v>
      </c>
    </row>
    <row r="32" spans="2:10" ht="12.75" customHeight="1" hidden="1">
      <c r="B32" t="s">
        <v>20</v>
      </c>
      <c r="E32" s="15">
        <f>H22</f>
        <v>0</v>
      </c>
      <c r="F32" s="15">
        <f>I22</f>
        <v>0</v>
      </c>
      <c r="G32" s="15">
        <f>J22</f>
        <v>0</v>
      </c>
      <c r="H32" s="15" t="e">
        <f>#REF!</f>
        <v>#REF!</v>
      </c>
      <c r="I32" s="15" t="e">
        <f>#REF!</f>
        <v>#REF!</v>
      </c>
      <c r="J32" s="15" t="e">
        <f>#REF!</f>
        <v>#REF!</v>
      </c>
    </row>
    <row r="33" spans="5:10" ht="12.75" customHeight="1" hidden="1">
      <c r="E33" s="7"/>
      <c r="F33" s="7"/>
      <c r="G33" s="7"/>
      <c r="H33" s="7"/>
      <c r="I33" s="7"/>
      <c r="J33" s="7"/>
    </row>
    <row r="34" spans="5:10" ht="12.75" customHeight="1" hidden="1">
      <c r="E34" s="7"/>
      <c r="F34" s="7"/>
      <c r="G34" s="7"/>
      <c r="H34" s="7"/>
      <c r="I34" s="7"/>
      <c r="J34" s="7"/>
    </row>
    <row r="35" ht="12.75" customHeight="1" hidden="1"/>
    <row r="36" ht="12.75" customHeight="1" hidden="1"/>
    <row r="37" ht="12.75" customHeight="1" hidden="1">
      <c r="B37" s="14" t="s">
        <v>21</v>
      </c>
    </row>
    <row r="38" ht="12.75" customHeight="1" hidden="1">
      <c r="B38" s="18">
        <f>63.2-15*LN(E31)</f>
        <v>49.218985704720716</v>
      </c>
    </row>
    <row r="39" spans="1:2" ht="12.75" customHeight="1" hidden="1">
      <c r="A39">
        <f>-0.1167*E31</f>
        <v>-0.2963894085</v>
      </c>
      <c r="B39" s="18">
        <f>72.9*EXP(A39)</f>
        <v>54.20099306523793</v>
      </c>
    </row>
    <row r="40" ht="12.75" customHeight="1" hidden="1">
      <c r="B40" s="18">
        <f>AVERAGE(B38:B39)</f>
        <v>51.70998938497932</v>
      </c>
    </row>
    <row r="41" spans="2:10" ht="12.75">
      <c r="B41" s="18"/>
      <c r="E41" s="18">
        <f aca="true" t="shared" si="9" ref="E41:J41">63.2-15*LN(E18)</f>
        <v>81.78079310983657</v>
      </c>
      <c r="F41" s="18">
        <f t="shared" si="9"/>
        <v>50.58916998463903</v>
      </c>
      <c r="G41" s="18">
        <f t="shared" si="9"/>
        <v>60.98637769303821</v>
      </c>
      <c r="H41" s="18">
        <f t="shared" si="9"/>
        <v>81.78079310983657</v>
      </c>
      <c r="I41" s="18">
        <f t="shared" si="9"/>
        <v>63.72120104494753</v>
      </c>
      <c r="J41" s="18">
        <f t="shared" si="9"/>
        <v>77.46556202305985</v>
      </c>
    </row>
    <row r="42" spans="2:10" ht="12.75" customHeight="1">
      <c r="B42" s="18"/>
      <c r="E42" s="18">
        <f aca="true" t="shared" si="10" ref="E42:J42">-0.1167*(E18)</f>
        <v>-0.033814408500000004</v>
      </c>
      <c r="F42" s="18">
        <f t="shared" si="10"/>
        <v>-0.27051526800000003</v>
      </c>
      <c r="G42" s="18">
        <f t="shared" si="10"/>
        <v>-0.13525763400000002</v>
      </c>
      <c r="H42" s="18">
        <f t="shared" si="10"/>
        <v>-0.033814408500000004</v>
      </c>
      <c r="I42" s="18">
        <f t="shared" si="10"/>
        <v>-0.11271469499999999</v>
      </c>
      <c r="J42" s="18">
        <f t="shared" si="10"/>
        <v>-0.04508587800000001</v>
      </c>
    </row>
    <row r="43" spans="2:10" ht="12.75">
      <c r="B43" s="18"/>
      <c r="E43" s="18">
        <f aca="true" t="shared" si="11" ref="E43:J43">72.9*EXP(E42)</f>
        <v>70.47614124717028</v>
      </c>
      <c r="F43" s="18">
        <f t="shared" si="11"/>
        <v>55.621697671161314</v>
      </c>
      <c r="G43" s="18">
        <f t="shared" si="11"/>
        <v>63.67748236407953</v>
      </c>
      <c r="H43" s="18">
        <f t="shared" si="11"/>
        <v>70.47614124717028</v>
      </c>
      <c r="I43" s="18">
        <f t="shared" si="11"/>
        <v>65.12926217612822</v>
      </c>
      <c r="J43" s="18">
        <f t="shared" si="11"/>
        <v>69.68623165445456</v>
      </c>
    </row>
    <row r="44" spans="2:10" ht="12.75">
      <c r="B44" s="18"/>
      <c r="C44" s="14" t="s">
        <v>23</v>
      </c>
      <c r="E44" s="22">
        <f aca="true" t="shared" si="12" ref="E44:J44">AVERAGE(E41,E43)</f>
        <v>76.12846717850343</v>
      </c>
      <c r="F44" s="22">
        <f t="shared" si="12"/>
        <v>53.10543382790017</v>
      </c>
      <c r="G44" s="22">
        <f t="shared" si="12"/>
        <v>62.33193002855887</v>
      </c>
      <c r="H44" s="22">
        <f t="shared" si="12"/>
        <v>76.12846717850343</v>
      </c>
      <c r="I44" s="22">
        <f t="shared" si="12"/>
        <v>64.42523161053788</v>
      </c>
      <c r="J44" s="22">
        <f t="shared" si="12"/>
        <v>73.5758968387572</v>
      </c>
    </row>
    <row r="46" spans="3:10" ht="38.25">
      <c r="C46" s="19" t="s">
        <v>22</v>
      </c>
      <c r="D46" s="19"/>
      <c r="F46" s="19"/>
      <c r="G46" s="19"/>
      <c r="H46" s="19"/>
      <c r="I46" s="19"/>
      <c r="J46" s="19"/>
    </row>
    <row r="47" spans="1:10" ht="12.75">
      <c r="A47" t="s">
        <v>8</v>
      </c>
      <c r="B47" t="s">
        <v>38</v>
      </c>
      <c r="D47" s="20"/>
      <c r="E47" s="13">
        <f aca="true" t="shared" si="13" ref="E47:J47">E19*100/100</f>
        <v>0.005577000000000001</v>
      </c>
      <c r="F47" s="13">
        <f t="shared" si="13"/>
        <v>0.04461600000000001</v>
      </c>
      <c r="G47" s="13">
        <f t="shared" si="13"/>
        <v>0.022308000000000005</v>
      </c>
      <c r="H47" s="13">
        <f t="shared" si="13"/>
        <v>0.005577000000000001</v>
      </c>
      <c r="I47" s="13">
        <f t="shared" si="13"/>
        <v>0.018590000000000002</v>
      </c>
      <c r="J47" s="13">
        <f t="shared" si="13"/>
        <v>0.007436000000000001</v>
      </c>
    </row>
    <row r="48" spans="1:10" ht="12.75">
      <c r="A48" t="s">
        <v>8</v>
      </c>
      <c r="B48" t="s">
        <v>24</v>
      </c>
      <c r="D48" s="21"/>
      <c r="E48" s="12">
        <f aca="true" t="shared" si="14" ref="E48:J48">E18*E44/100</f>
        <v>0.22058604007307264</v>
      </c>
      <c r="F48" s="12">
        <f t="shared" si="14"/>
        <v>1.2310051983042571</v>
      </c>
      <c r="G48" s="12">
        <f t="shared" si="14"/>
        <v>0.7224395354170032</v>
      </c>
      <c r="H48" s="12">
        <f t="shared" si="14"/>
        <v>0.22058604007307264</v>
      </c>
      <c r="I48" s="12">
        <f t="shared" si="14"/>
        <v>0.62225109951038</v>
      </c>
      <c r="J48" s="12">
        <f t="shared" si="14"/>
        <v>0.28425311984685464</v>
      </c>
    </row>
    <row r="49" spans="2:10" ht="12.75">
      <c r="B49" t="s">
        <v>25</v>
      </c>
      <c r="E49" s="10">
        <f aca="true" t="shared" si="15" ref="E49:J49">SUM(E47:E48)</f>
        <v>0.22616304007307264</v>
      </c>
      <c r="F49" s="10">
        <f t="shared" si="15"/>
        <v>1.2756211983042571</v>
      </c>
      <c r="G49" s="10">
        <f t="shared" si="15"/>
        <v>0.7447475354170032</v>
      </c>
      <c r="H49" s="10">
        <f t="shared" si="15"/>
        <v>0.22616304007307264</v>
      </c>
      <c r="I49" s="10">
        <f t="shared" si="15"/>
        <v>0.64084109951038</v>
      </c>
      <c r="J49" s="10">
        <f t="shared" si="15"/>
        <v>0.29168911984685464</v>
      </c>
    </row>
    <row r="50" spans="1:10" ht="12.75">
      <c r="A50" s="71" t="s">
        <v>52</v>
      </c>
      <c r="E50" s="66">
        <f aca="true" t="shared" si="16" ref="E50:J50">E49*(240/365)/70</f>
        <v>0.002124427773680526</v>
      </c>
      <c r="F50" s="66">
        <f t="shared" si="16"/>
        <v>0.011982351764893217</v>
      </c>
      <c r="G50" s="66">
        <f t="shared" si="16"/>
        <v>0.006995671565560891</v>
      </c>
      <c r="H50" s="66">
        <f t="shared" si="16"/>
        <v>0.002124427773680526</v>
      </c>
      <c r="I50" s="66">
        <f t="shared" si="16"/>
        <v>0.006019642422015311</v>
      </c>
      <c r="J50" s="66">
        <f t="shared" si="16"/>
        <v>0.0027399369378960903</v>
      </c>
    </row>
    <row r="52" ht="12.75">
      <c r="B52" s="6" t="s">
        <v>14</v>
      </c>
    </row>
    <row r="53" spans="1:10" ht="12.75">
      <c r="A53" t="s">
        <v>8</v>
      </c>
      <c r="B53" t="s">
        <v>26</v>
      </c>
      <c r="E53" s="29">
        <v>60</v>
      </c>
      <c r="F53" s="29">
        <v>60</v>
      </c>
      <c r="G53" s="29">
        <v>60</v>
      </c>
      <c r="H53" s="29">
        <v>60</v>
      </c>
      <c r="I53" s="29">
        <v>60</v>
      </c>
      <c r="J53" s="29">
        <v>60</v>
      </c>
    </row>
    <row r="54" spans="1:10" ht="12.75">
      <c r="A54" t="s">
        <v>8</v>
      </c>
      <c r="B54" t="s">
        <v>27</v>
      </c>
      <c r="E54" s="4">
        <f aca="true" t="shared" si="17" ref="E54:J54">E53*0.3/100</f>
        <v>0.18</v>
      </c>
      <c r="F54" s="4">
        <f t="shared" si="17"/>
        <v>0.18</v>
      </c>
      <c r="G54" s="4">
        <f t="shared" si="17"/>
        <v>0.18</v>
      </c>
      <c r="H54" s="4">
        <f t="shared" si="17"/>
        <v>0.18</v>
      </c>
      <c r="I54" s="4">
        <f t="shared" si="17"/>
        <v>0.18</v>
      </c>
      <c r="J54" s="4">
        <f t="shared" si="17"/>
        <v>0.18</v>
      </c>
    </row>
    <row r="55" spans="1:10" ht="12.75">
      <c r="A55" s="71" t="s">
        <v>52</v>
      </c>
      <c r="E55" s="67">
        <f aca="true" t="shared" si="18" ref="E55:J55">E54*(240/365)/70</f>
        <v>0.0016908023483365947</v>
      </c>
      <c r="F55" s="67">
        <f t="shared" si="18"/>
        <v>0.0016908023483365947</v>
      </c>
      <c r="G55" s="67">
        <f t="shared" si="18"/>
        <v>0.0016908023483365947</v>
      </c>
      <c r="H55" s="67">
        <f t="shared" si="18"/>
        <v>0.0016908023483365947</v>
      </c>
      <c r="I55" s="67">
        <f t="shared" si="18"/>
        <v>0.0016908023483365947</v>
      </c>
      <c r="J55" s="67">
        <f t="shared" si="18"/>
        <v>0.0016908023483365947</v>
      </c>
    </row>
    <row r="56" spans="5:10" ht="13.5" thickBot="1">
      <c r="E56" s="79"/>
      <c r="F56" s="79"/>
      <c r="G56" s="79"/>
      <c r="H56" s="79"/>
      <c r="I56" s="79"/>
      <c r="J56" s="79"/>
    </row>
    <row r="57" spans="1:10" ht="12.75">
      <c r="A57" s="182"/>
      <c r="B57" s="171" t="s">
        <v>54</v>
      </c>
      <c r="C57" s="172"/>
      <c r="D57" s="172"/>
      <c r="E57" s="183"/>
      <c r="F57" s="183"/>
      <c r="G57" s="183"/>
      <c r="H57" s="183"/>
      <c r="I57" s="183"/>
      <c r="J57" s="184"/>
    </row>
    <row r="58" spans="1:10" ht="12.75">
      <c r="A58" s="175" t="s">
        <v>8</v>
      </c>
      <c r="B58" s="331" t="s">
        <v>28</v>
      </c>
      <c r="C58" s="331"/>
      <c r="D58" s="331"/>
      <c r="E58" s="176">
        <f aca="true" t="shared" si="19" ref="E58:J58">(E47+E48+E54)*240/365</f>
        <v>0.26706610854119844</v>
      </c>
      <c r="F58" s="176">
        <f t="shared" si="19"/>
        <v>0.9571207879260868</v>
      </c>
      <c r="G58" s="176">
        <f t="shared" si="19"/>
        <v>0.608053173972824</v>
      </c>
      <c r="H58" s="176">
        <f t="shared" si="19"/>
        <v>0.26706610854119844</v>
      </c>
      <c r="I58" s="176">
        <f t="shared" si="19"/>
        <v>0.5397311339246335</v>
      </c>
      <c r="J58" s="177">
        <f t="shared" si="19"/>
        <v>0.310151750036288</v>
      </c>
    </row>
    <row r="59" spans="1:10" ht="12.75">
      <c r="A59" s="178" t="s">
        <v>39</v>
      </c>
      <c r="B59" s="23"/>
      <c r="C59" s="23"/>
      <c r="D59" s="23"/>
      <c r="E59" s="192">
        <f aca="true" t="shared" si="20" ref="E59:J59">E58/70</f>
        <v>0.0038152301220171205</v>
      </c>
      <c r="F59" s="192">
        <f t="shared" si="20"/>
        <v>0.01367315411322981</v>
      </c>
      <c r="G59" s="192">
        <f t="shared" si="20"/>
        <v>0.008686473913897486</v>
      </c>
      <c r="H59" s="192">
        <f t="shared" si="20"/>
        <v>0.0038152301220171205</v>
      </c>
      <c r="I59" s="192">
        <f t="shared" si="20"/>
        <v>0.007710444770351907</v>
      </c>
      <c r="J59" s="43">
        <f t="shared" si="20"/>
        <v>0.0044307392862326855</v>
      </c>
    </row>
    <row r="60" spans="1:10" ht="13.5" thickBot="1">
      <c r="A60" s="37"/>
      <c r="B60" s="39"/>
      <c r="C60" s="38" t="s">
        <v>40</v>
      </c>
      <c r="D60" s="39"/>
      <c r="E60" s="181">
        <f aca="true" t="shared" si="21" ref="E60:J60">4.075/E59</f>
        <v>1068.0876040697485</v>
      </c>
      <c r="F60" s="181">
        <f t="shared" si="21"/>
        <v>298.0292598367724</v>
      </c>
      <c r="G60" s="181">
        <f t="shared" si="21"/>
        <v>469.1201562788797</v>
      </c>
      <c r="H60" s="181">
        <f t="shared" si="21"/>
        <v>1068.0876040697485</v>
      </c>
      <c r="I60" s="181">
        <f t="shared" si="21"/>
        <v>528.5038828977977</v>
      </c>
      <c r="J60" s="44">
        <f t="shared" si="21"/>
        <v>919.7110768087736</v>
      </c>
    </row>
    <row r="62" spans="1:16" ht="12.75">
      <c r="A62" s="32"/>
      <c r="B62" s="33" t="s">
        <v>55</v>
      </c>
      <c r="C62" s="32"/>
      <c r="D62" s="32"/>
      <c r="E62" s="32"/>
      <c r="F62" s="32"/>
      <c r="G62" s="32"/>
      <c r="H62" s="32"/>
      <c r="I62" s="73"/>
      <c r="J62" s="32"/>
      <c r="K62" s="25"/>
      <c r="L62" s="25"/>
      <c r="M62" s="25"/>
      <c r="N62" s="25"/>
      <c r="O62" s="25"/>
      <c r="P62" s="25"/>
    </row>
    <row r="63" spans="1:16" ht="12.75">
      <c r="A63" t="s">
        <v>8</v>
      </c>
      <c r="B63" t="s">
        <v>29</v>
      </c>
      <c r="E63" s="5">
        <v>2.35</v>
      </c>
      <c r="F63" s="5">
        <v>2.35</v>
      </c>
      <c r="G63" s="5">
        <v>2.35</v>
      </c>
      <c r="H63" s="5">
        <v>2.35</v>
      </c>
      <c r="I63" s="5">
        <v>2.35</v>
      </c>
      <c r="J63" s="5">
        <v>2.35</v>
      </c>
      <c r="K63" s="25"/>
      <c r="L63" s="25"/>
      <c r="M63" s="25"/>
      <c r="N63" s="25"/>
      <c r="O63" s="25"/>
      <c r="P63" s="25"/>
    </row>
    <row r="64" spans="1:16" ht="12.75">
      <c r="A64" t="s">
        <v>8</v>
      </c>
      <c r="B64" t="s">
        <v>41</v>
      </c>
      <c r="E64" s="3">
        <v>0.093</v>
      </c>
      <c r="F64" s="3">
        <v>0.093</v>
      </c>
      <c r="G64" s="3">
        <v>0.093</v>
      </c>
      <c r="H64" s="3">
        <v>0.093</v>
      </c>
      <c r="I64" s="3">
        <v>0.093</v>
      </c>
      <c r="J64" s="3">
        <v>0.093</v>
      </c>
      <c r="K64" s="25"/>
      <c r="L64" s="25"/>
      <c r="M64" s="25"/>
      <c r="N64" s="25"/>
      <c r="O64" s="25"/>
      <c r="P64" s="25"/>
    </row>
    <row r="65" spans="1:16" ht="12.75">
      <c r="A65" t="s">
        <v>8</v>
      </c>
      <c r="B65" t="s">
        <v>30</v>
      </c>
      <c r="E65" s="3">
        <v>0.001</v>
      </c>
      <c r="F65" s="3">
        <v>0.001</v>
      </c>
      <c r="G65" s="3">
        <v>0.001</v>
      </c>
      <c r="H65" s="3">
        <v>0.001</v>
      </c>
      <c r="I65" s="3">
        <v>0.001</v>
      </c>
      <c r="J65" s="3">
        <v>0.001</v>
      </c>
      <c r="K65" s="25"/>
      <c r="L65" s="25"/>
      <c r="M65" s="25"/>
      <c r="N65" s="25"/>
      <c r="O65" s="25"/>
      <c r="P65" s="25"/>
    </row>
    <row r="66" spans="1:16" ht="12.75">
      <c r="A66" t="s">
        <v>8</v>
      </c>
      <c r="B66" t="s">
        <v>31</v>
      </c>
      <c r="E66" s="4">
        <v>0.28</v>
      </c>
      <c r="F66" s="4">
        <v>0.28</v>
      </c>
      <c r="G66" s="4">
        <v>0.28</v>
      </c>
      <c r="H66" s="4">
        <v>0.28</v>
      </c>
      <c r="I66" s="4">
        <v>0.28</v>
      </c>
      <c r="J66" s="4">
        <v>0.28</v>
      </c>
      <c r="K66" s="25"/>
      <c r="L66" s="25"/>
      <c r="M66" s="25"/>
      <c r="N66" s="25"/>
      <c r="O66" s="25"/>
      <c r="P66" s="25"/>
    </row>
    <row r="67" spans="5:16" ht="12.75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5:16" ht="12.75">
      <c r="E68" s="28">
        <f aca="true" t="shared" si="22" ref="E68:J68">63.2-15*LN(E18+E63)</f>
        <v>48.63970835267819</v>
      </c>
      <c r="F68" s="28">
        <f t="shared" si="22"/>
        <v>40.08891074948169</v>
      </c>
      <c r="G68" s="28">
        <f t="shared" si="22"/>
        <v>44.36994805678461</v>
      </c>
      <c r="H68" s="28">
        <f t="shared" si="22"/>
        <v>48.63970835267819</v>
      </c>
      <c r="I68" s="28">
        <f t="shared" si="22"/>
        <v>45.21928998459883</v>
      </c>
      <c r="J68" s="28">
        <f t="shared" si="22"/>
        <v>48.10068108431902</v>
      </c>
      <c r="K68" s="25"/>
      <c r="L68" s="25"/>
      <c r="M68" s="25"/>
      <c r="N68" s="25"/>
      <c r="O68" s="25"/>
      <c r="P68" s="25"/>
    </row>
    <row r="69" spans="5:16" ht="12.75">
      <c r="E69" s="18">
        <f aca="true" t="shared" si="23" ref="E69:J69">-0.1167*(E18+E63)</f>
        <v>-0.3080594085</v>
      </c>
      <c r="F69" s="18">
        <f t="shared" si="23"/>
        <v>-0.544760268</v>
      </c>
      <c r="G69" s="18">
        <f t="shared" si="23"/>
        <v>-0.40950263400000003</v>
      </c>
      <c r="H69" s="18">
        <f t="shared" si="23"/>
        <v>-0.3080594085</v>
      </c>
      <c r="I69" s="18">
        <f t="shared" si="23"/>
        <v>-0.386959695</v>
      </c>
      <c r="J69" s="18">
        <f t="shared" si="23"/>
        <v>-0.31933087800000004</v>
      </c>
      <c r="K69" s="25"/>
      <c r="L69" s="25"/>
      <c r="M69" s="25"/>
      <c r="N69" s="25"/>
      <c r="O69" s="25"/>
      <c r="P69" s="25"/>
    </row>
    <row r="70" spans="5:16" ht="12.75">
      <c r="E70" s="28">
        <f aca="true" t="shared" si="24" ref="E70:J70">72.9*EXP(E69)</f>
        <v>53.57214394760758</v>
      </c>
      <c r="F70" s="28">
        <f t="shared" si="24"/>
        <v>42.2806008036004</v>
      </c>
      <c r="G70" s="28">
        <f t="shared" si="24"/>
        <v>48.40417183831956</v>
      </c>
      <c r="H70" s="28">
        <f t="shared" si="24"/>
        <v>53.57214394760758</v>
      </c>
      <c r="I70" s="28">
        <f t="shared" si="24"/>
        <v>49.50773618924699</v>
      </c>
      <c r="J70" s="28">
        <f t="shared" si="24"/>
        <v>52.971697475117686</v>
      </c>
      <c r="K70" s="25"/>
      <c r="L70" s="25"/>
      <c r="M70" s="25"/>
      <c r="N70" s="25"/>
      <c r="O70" s="25"/>
      <c r="P70" s="25"/>
    </row>
    <row r="71" spans="3:16" ht="12.75">
      <c r="C71" s="14" t="s">
        <v>21</v>
      </c>
      <c r="E71" s="22">
        <f aca="true" t="shared" si="25" ref="E71:J71">AVERAGE(E68,E70)</f>
        <v>51.105926150142885</v>
      </c>
      <c r="F71" s="22">
        <f t="shared" si="25"/>
        <v>41.184755776541046</v>
      </c>
      <c r="G71" s="22">
        <f t="shared" si="25"/>
        <v>46.38705994755209</v>
      </c>
      <c r="H71" s="22">
        <f t="shared" si="25"/>
        <v>51.105926150142885</v>
      </c>
      <c r="I71" s="22">
        <f t="shared" si="25"/>
        <v>47.36351308692291</v>
      </c>
      <c r="J71" s="22">
        <f t="shared" si="25"/>
        <v>50.53618927971836</v>
      </c>
      <c r="K71" s="25"/>
      <c r="L71" s="25"/>
      <c r="M71" s="25"/>
      <c r="N71" s="25"/>
      <c r="O71" s="25"/>
      <c r="P71" s="25"/>
    </row>
    <row r="72" spans="3:10" s="25" customFormat="1" ht="12.75">
      <c r="C72" s="196"/>
      <c r="E72" s="194"/>
      <c r="F72" s="194"/>
      <c r="G72" s="194"/>
      <c r="H72" s="194"/>
      <c r="I72" s="194"/>
      <c r="J72" s="194"/>
    </row>
    <row r="73" spans="1:16" ht="12.75">
      <c r="A73" s="32"/>
      <c r="B73" s="33" t="s">
        <v>32</v>
      </c>
      <c r="C73" s="32"/>
      <c r="D73" s="32"/>
      <c r="E73" s="32"/>
      <c r="F73" s="32"/>
      <c r="G73" s="32"/>
      <c r="H73" s="32"/>
      <c r="I73" s="73"/>
      <c r="J73" s="32"/>
      <c r="K73" s="25"/>
      <c r="L73" s="25"/>
      <c r="M73" s="25"/>
      <c r="N73" s="25"/>
      <c r="O73" s="25"/>
      <c r="P73" s="25"/>
    </row>
    <row r="74" spans="1:10" ht="12.75">
      <c r="A74" t="s">
        <v>8</v>
      </c>
      <c r="B74" t="s">
        <v>86</v>
      </c>
      <c r="D74" s="20"/>
      <c r="E74" s="26">
        <f aca="true" t="shared" si="26" ref="E74:J74">E63*E71/100</f>
        <v>1.2009892645283577</v>
      </c>
      <c r="F74" s="26">
        <f t="shared" si="26"/>
        <v>0.9678417607487146</v>
      </c>
      <c r="G74" s="26">
        <f t="shared" si="26"/>
        <v>1.0900959087674742</v>
      </c>
      <c r="H74" s="26">
        <f t="shared" si="26"/>
        <v>1.2009892645283577</v>
      </c>
      <c r="I74" s="26">
        <f t="shared" si="26"/>
        <v>1.1130425575426883</v>
      </c>
      <c r="J74" s="26">
        <f t="shared" si="26"/>
        <v>1.1876004480733815</v>
      </c>
    </row>
    <row r="75" spans="1:10" ht="12.75">
      <c r="A75" t="s">
        <v>8</v>
      </c>
      <c r="B75" t="s">
        <v>87</v>
      </c>
      <c r="D75" s="21"/>
      <c r="E75" s="3">
        <f aca="true" t="shared" si="27" ref="E75:J75">(E64+E65)*1</f>
        <v>0.094</v>
      </c>
      <c r="F75" s="3">
        <f t="shared" si="27"/>
        <v>0.094</v>
      </c>
      <c r="G75" s="3">
        <f t="shared" si="27"/>
        <v>0.094</v>
      </c>
      <c r="H75" s="3">
        <f t="shared" si="27"/>
        <v>0.094</v>
      </c>
      <c r="I75" s="3">
        <f t="shared" si="27"/>
        <v>0.094</v>
      </c>
      <c r="J75" s="3">
        <f t="shared" si="27"/>
        <v>0.094</v>
      </c>
    </row>
    <row r="76" spans="1:10" ht="12.75">
      <c r="A76" t="s">
        <v>8</v>
      </c>
      <c r="B76" t="s">
        <v>88</v>
      </c>
      <c r="D76" s="7"/>
      <c r="E76" s="27">
        <f aca="true" t="shared" si="28" ref="E76:J76">E66*0.3/100</f>
        <v>0.00084</v>
      </c>
      <c r="F76" s="27">
        <f t="shared" si="28"/>
        <v>0.00084</v>
      </c>
      <c r="G76" s="27">
        <f t="shared" si="28"/>
        <v>0.00084</v>
      </c>
      <c r="H76" s="27">
        <f t="shared" si="28"/>
        <v>0.00084</v>
      </c>
      <c r="I76" s="27">
        <f t="shared" si="28"/>
        <v>0.00084</v>
      </c>
      <c r="J76" s="27">
        <f t="shared" si="28"/>
        <v>0.00084</v>
      </c>
    </row>
    <row r="77" spans="1:10" ht="12.75">
      <c r="A77" s="41" t="s">
        <v>8</v>
      </c>
      <c r="B77" s="41" t="s">
        <v>89</v>
      </c>
      <c r="C77" s="247"/>
      <c r="D77" s="86"/>
      <c r="E77" s="310">
        <f aca="true" t="shared" si="29" ref="E77:J77">SUM(E74:E76)</f>
        <v>1.2958292645283578</v>
      </c>
      <c r="F77" s="310">
        <f t="shared" si="29"/>
        <v>1.0626817607487147</v>
      </c>
      <c r="G77" s="310">
        <f t="shared" si="29"/>
        <v>1.1849359087674742</v>
      </c>
      <c r="H77" s="310">
        <f t="shared" si="29"/>
        <v>1.2958292645283578</v>
      </c>
      <c r="I77" s="310">
        <f t="shared" si="29"/>
        <v>1.2078825575426884</v>
      </c>
      <c r="J77" s="310">
        <f t="shared" si="29"/>
        <v>1.2824404480733815</v>
      </c>
    </row>
    <row r="78" spans="1:10" ht="12.75">
      <c r="A78" s="24" t="s">
        <v>39</v>
      </c>
      <c r="B78" s="24" t="s">
        <v>89</v>
      </c>
      <c r="D78" s="7"/>
      <c r="E78" s="72">
        <f aca="true" t="shared" si="30" ref="E78:J78">E77/70</f>
        <v>0.018511846636119395</v>
      </c>
      <c r="F78" s="72">
        <f t="shared" si="30"/>
        <v>0.015181168010695923</v>
      </c>
      <c r="G78" s="72">
        <f t="shared" si="30"/>
        <v>0.016927655839535347</v>
      </c>
      <c r="H78" s="72">
        <f t="shared" si="30"/>
        <v>0.018511846636119395</v>
      </c>
      <c r="I78" s="72">
        <f t="shared" si="30"/>
        <v>0.01725546510775269</v>
      </c>
      <c r="J78" s="72">
        <f t="shared" si="30"/>
        <v>0.018320577829619735</v>
      </c>
    </row>
    <row r="79" spans="1:10" ht="12.75">
      <c r="A79" s="24"/>
      <c r="B79" s="24"/>
      <c r="D79" s="7"/>
      <c r="E79" s="72"/>
      <c r="F79" s="72"/>
      <c r="G79" s="72"/>
      <c r="H79" s="72"/>
      <c r="I79" s="72"/>
      <c r="J79" s="72"/>
    </row>
    <row r="80" spans="1:10" ht="12.75">
      <c r="A80" t="s">
        <v>8</v>
      </c>
      <c r="B80" t="s">
        <v>90</v>
      </c>
      <c r="D80" s="7"/>
      <c r="E80" s="317">
        <f aca="true" t="shared" si="31" ref="E80:J80">E71*E18*(240/365)/(100)</f>
        <v>0.09736897072855662</v>
      </c>
      <c r="F80" s="317">
        <f t="shared" si="31"/>
        <v>0.6277342111578293</v>
      </c>
      <c r="G80" s="317">
        <f t="shared" si="31"/>
        <v>0.35351362336709147</v>
      </c>
      <c r="H80" s="317">
        <f t="shared" si="31"/>
        <v>0.09736897072855662</v>
      </c>
      <c r="I80" s="317">
        <f t="shared" si="31"/>
        <v>0.30079593938633087</v>
      </c>
      <c r="J80" s="317">
        <f t="shared" si="31"/>
        <v>0.1283779815868037</v>
      </c>
    </row>
    <row r="81" spans="1:10" ht="12.75">
      <c r="A81" t="s">
        <v>8</v>
      </c>
      <c r="B81" t="s">
        <v>91</v>
      </c>
      <c r="D81" s="7"/>
      <c r="E81" s="318">
        <f aca="true" t="shared" si="32" ref="E81:J81">E53*0.3*(240/365)/(100)</f>
        <v>0.11835616438356164</v>
      </c>
      <c r="F81" s="318">
        <f t="shared" si="32"/>
        <v>0.11835616438356164</v>
      </c>
      <c r="G81" s="318">
        <f t="shared" si="32"/>
        <v>0.11835616438356164</v>
      </c>
      <c r="H81" s="318">
        <f t="shared" si="32"/>
        <v>0.11835616438356164</v>
      </c>
      <c r="I81" s="318">
        <f t="shared" si="32"/>
        <v>0.11835616438356164</v>
      </c>
      <c r="J81" s="318">
        <f t="shared" si="32"/>
        <v>0.11835616438356164</v>
      </c>
    </row>
    <row r="82" spans="1:10" ht="12.75">
      <c r="A82" t="s">
        <v>8</v>
      </c>
      <c r="B82" t="s">
        <v>92</v>
      </c>
      <c r="D82" s="7"/>
      <c r="E82" s="319">
        <f aca="true" t="shared" si="33" ref="E82:J82">E47*(240/365)</f>
        <v>0.0036670684931506855</v>
      </c>
      <c r="F82" s="319">
        <f t="shared" si="33"/>
        <v>0.029336547945205484</v>
      </c>
      <c r="G82" s="319">
        <f t="shared" si="33"/>
        <v>0.014668273972602742</v>
      </c>
      <c r="H82" s="319">
        <f t="shared" si="33"/>
        <v>0.0036670684931506855</v>
      </c>
      <c r="I82" s="319">
        <f t="shared" si="33"/>
        <v>0.012223561643835618</v>
      </c>
      <c r="J82" s="319">
        <f t="shared" si="33"/>
        <v>0.0048894246575342465</v>
      </c>
    </row>
    <row r="83" spans="1:10" ht="12.75">
      <c r="A83" s="41" t="s">
        <v>8</v>
      </c>
      <c r="B83" s="41" t="s">
        <v>93</v>
      </c>
      <c r="C83" s="247"/>
      <c r="D83" s="86"/>
      <c r="E83" s="310">
        <f aca="true" t="shared" si="34" ref="E83:J83">SUM(E80:E82)</f>
        <v>0.21939220360526895</v>
      </c>
      <c r="F83" s="310">
        <f t="shared" si="34"/>
        <v>0.7754269234865965</v>
      </c>
      <c r="G83" s="310">
        <f t="shared" si="34"/>
        <v>0.48653806172325587</v>
      </c>
      <c r="H83" s="310">
        <f t="shared" si="34"/>
        <v>0.21939220360526895</v>
      </c>
      <c r="I83" s="310">
        <f t="shared" si="34"/>
        <v>0.4313756654137282</v>
      </c>
      <c r="J83" s="310">
        <f t="shared" si="34"/>
        <v>0.2516235706278996</v>
      </c>
    </row>
    <row r="84" spans="1:10" ht="12.75">
      <c r="A84" s="24" t="s">
        <v>39</v>
      </c>
      <c r="B84" s="24" t="s">
        <v>93</v>
      </c>
      <c r="D84" s="7"/>
      <c r="E84" s="72">
        <f aca="true" t="shared" si="35" ref="E84:J84">E83/70</f>
        <v>0.003134174337218128</v>
      </c>
      <c r="F84" s="72">
        <f t="shared" si="35"/>
        <v>0.01107752747837995</v>
      </c>
      <c r="G84" s="72">
        <f t="shared" si="35"/>
        <v>0.006950543738903655</v>
      </c>
      <c r="H84" s="72">
        <f t="shared" si="35"/>
        <v>0.003134174337218128</v>
      </c>
      <c r="I84" s="72">
        <f t="shared" si="35"/>
        <v>0.006162509505910403</v>
      </c>
      <c r="J84" s="72">
        <f t="shared" si="35"/>
        <v>0.003594622437541423</v>
      </c>
    </row>
    <row r="85" ht="13.5" thickBot="1"/>
    <row r="86" spans="1:10" ht="12.75">
      <c r="A86" s="45" t="s">
        <v>8</v>
      </c>
      <c r="B86" s="332" t="s">
        <v>32</v>
      </c>
      <c r="C86" s="333"/>
      <c r="D86" s="333"/>
      <c r="E86" s="42">
        <f aca="true" t="shared" si="36" ref="E86:J86">E77+E83</f>
        <v>1.5152214681336267</v>
      </c>
      <c r="F86" s="42">
        <f t="shared" si="36"/>
        <v>1.8381086842353112</v>
      </c>
      <c r="G86" s="42">
        <f t="shared" si="36"/>
        <v>1.6714739704907302</v>
      </c>
      <c r="H86" s="42">
        <f t="shared" si="36"/>
        <v>1.5152214681336267</v>
      </c>
      <c r="I86" s="42">
        <f t="shared" si="36"/>
        <v>1.6392582229564165</v>
      </c>
      <c r="J86" s="42">
        <f t="shared" si="36"/>
        <v>1.534064018701281</v>
      </c>
    </row>
    <row r="87" spans="1:10" ht="12.75">
      <c r="A87" s="36" t="s">
        <v>39</v>
      </c>
      <c r="B87" s="35"/>
      <c r="C87" s="23"/>
      <c r="D87" s="23"/>
      <c r="E87" s="43">
        <f aca="true" t="shared" si="37" ref="E87:J87">E86/70</f>
        <v>0.021646020973337524</v>
      </c>
      <c r="F87" s="43">
        <f t="shared" si="37"/>
        <v>0.026258695489075872</v>
      </c>
      <c r="G87" s="43">
        <f t="shared" si="37"/>
        <v>0.023878199578439004</v>
      </c>
      <c r="H87" s="43">
        <f t="shared" si="37"/>
        <v>0.021646020973337524</v>
      </c>
      <c r="I87" s="43">
        <f t="shared" si="37"/>
        <v>0.023417974613663094</v>
      </c>
      <c r="J87" s="43">
        <f t="shared" si="37"/>
        <v>0.021915200267161157</v>
      </c>
    </row>
    <row r="88" spans="2:10" ht="13.5" thickBot="1">
      <c r="B88" s="37"/>
      <c r="C88" s="38" t="s">
        <v>40</v>
      </c>
      <c r="D88" s="39"/>
      <c r="E88" s="44">
        <f aca="true" t="shared" si="38" ref="E88:J88">4.075/E87</f>
        <v>188.2563084004852</v>
      </c>
      <c r="F88" s="44">
        <f t="shared" si="38"/>
        <v>155.18668860360103</v>
      </c>
      <c r="G88" s="44">
        <f t="shared" si="38"/>
        <v>170.65775778503632</v>
      </c>
      <c r="H88" s="44">
        <f t="shared" si="38"/>
        <v>188.2563084004852</v>
      </c>
      <c r="I88" s="44">
        <f t="shared" si="38"/>
        <v>174.01163282594314</v>
      </c>
      <c r="J88" s="44">
        <f t="shared" si="38"/>
        <v>185.9440000694945</v>
      </c>
    </row>
  </sheetData>
  <sheetProtection/>
  <mergeCells count="2">
    <mergeCell ref="B58:D58"/>
    <mergeCell ref="B86:D8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7109375" style="0" customWidth="1"/>
    <col min="4" max="4" width="14.8515625" style="0" customWidth="1"/>
    <col min="5" max="5" width="15.57421875" style="0" customWidth="1"/>
    <col min="6" max="6" width="10.57421875" style="0" customWidth="1"/>
    <col min="7" max="7" width="10.8515625" style="0" customWidth="1"/>
    <col min="8" max="8" width="10.00390625" style="0" customWidth="1"/>
    <col min="10" max="10" width="9.140625" style="275" customWidth="1"/>
    <col min="12" max="12" width="12.8515625" style="0" customWidth="1"/>
    <col min="14" max="14" width="11.00390625" style="0" customWidth="1"/>
  </cols>
  <sheetData>
    <row r="1" spans="1:11" ht="12.75">
      <c r="A1" s="1" t="s">
        <v>101</v>
      </c>
      <c r="B1" s="1"/>
      <c r="C1" s="1"/>
      <c r="D1" s="2"/>
      <c r="E1" s="2"/>
      <c r="F1" s="2"/>
      <c r="G1" s="2"/>
      <c r="H1" s="2"/>
      <c r="I1" s="2"/>
      <c r="J1" s="300"/>
      <c r="K1" s="2"/>
    </row>
    <row r="2" spans="1:11" ht="12.75">
      <c r="A2" s="1" t="s">
        <v>33</v>
      </c>
      <c r="B2" s="1"/>
      <c r="C2" s="1"/>
      <c r="D2" s="2"/>
      <c r="E2" s="2"/>
      <c r="F2" s="2"/>
      <c r="G2" s="2"/>
      <c r="H2" s="2"/>
      <c r="I2" s="2"/>
      <c r="J2" s="300"/>
      <c r="K2" s="2"/>
    </row>
    <row r="3" spans="2:4" ht="12.75">
      <c r="B3" s="75" t="s">
        <v>1</v>
      </c>
      <c r="C3" s="15" t="s">
        <v>2</v>
      </c>
      <c r="D3" s="76" t="s">
        <v>3</v>
      </c>
    </row>
    <row r="4" ht="12.75"/>
    <row r="5" spans="1:11" s="25" customFormat="1" ht="12.75">
      <c r="A5" s="32"/>
      <c r="B5" s="33" t="s">
        <v>53</v>
      </c>
      <c r="C5" s="32"/>
      <c r="D5" s="32"/>
      <c r="E5" s="34"/>
      <c r="F5" s="32"/>
      <c r="G5" s="32"/>
      <c r="H5" s="32"/>
      <c r="I5" s="32"/>
      <c r="J5" s="191"/>
      <c r="K5" s="32"/>
    </row>
    <row r="6" spans="2:10" s="25" customFormat="1" ht="12.75">
      <c r="B6" s="74" t="s">
        <v>4</v>
      </c>
      <c r="E6" s="8"/>
      <c r="J6" s="297"/>
    </row>
    <row r="7" spans="1:11" ht="12.75">
      <c r="A7" t="s">
        <v>6</v>
      </c>
      <c r="B7" t="s">
        <v>5</v>
      </c>
      <c r="E7" s="31">
        <v>0.23</v>
      </c>
      <c r="F7" s="31">
        <v>1.24</v>
      </c>
      <c r="G7" s="31">
        <v>0.6</v>
      </c>
      <c r="H7" s="31">
        <v>0.2</v>
      </c>
      <c r="I7" s="31">
        <v>2.45</v>
      </c>
      <c r="J7" s="272">
        <v>0.13</v>
      </c>
      <c r="K7" s="31">
        <v>0.3</v>
      </c>
    </row>
    <row r="8" ht="12.75">
      <c r="E8" s="8"/>
    </row>
    <row r="9" spans="1:11" ht="12.75">
      <c r="A9" t="s">
        <v>8</v>
      </c>
      <c r="B9" t="s">
        <v>7</v>
      </c>
      <c r="E9" s="8">
        <f aca="true" t="shared" si="0" ref="E9:K9">E7*10</f>
        <v>2.3000000000000003</v>
      </c>
      <c r="F9" s="8">
        <f t="shared" si="0"/>
        <v>12.4</v>
      </c>
      <c r="G9" s="8">
        <f t="shared" si="0"/>
        <v>6</v>
      </c>
      <c r="H9" s="8">
        <f t="shared" si="0"/>
        <v>2</v>
      </c>
      <c r="I9" s="8">
        <f t="shared" si="0"/>
        <v>24.5</v>
      </c>
      <c r="J9" s="276">
        <f>J7*10</f>
        <v>1.3</v>
      </c>
      <c r="K9" s="8">
        <f t="shared" si="0"/>
        <v>3</v>
      </c>
    </row>
    <row r="10" spans="1:11" ht="12.75">
      <c r="A10" t="s">
        <v>9</v>
      </c>
      <c r="C10" t="s">
        <v>35</v>
      </c>
      <c r="D10" s="9"/>
      <c r="E10" s="8">
        <f aca="true" t="shared" si="1" ref="E10:K10">0.55*E9</f>
        <v>1.2650000000000003</v>
      </c>
      <c r="F10" s="8">
        <f t="shared" si="1"/>
        <v>6.820000000000001</v>
      </c>
      <c r="G10" s="8">
        <f t="shared" si="1"/>
        <v>3.3000000000000003</v>
      </c>
      <c r="H10" s="8">
        <f t="shared" si="1"/>
        <v>1.1</v>
      </c>
      <c r="I10" s="8">
        <f t="shared" si="1"/>
        <v>13.475000000000001</v>
      </c>
      <c r="J10" s="276">
        <f t="shared" si="1"/>
        <v>0.7150000000000001</v>
      </c>
      <c r="K10" s="8">
        <f t="shared" si="1"/>
        <v>1.6500000000000001</v>
      </c>
    </row>
    <row r="11" spans="1:11" ht="12.75">
      <c r="A11" t="s">
        <v>9</v>
      </c>
      <c r="C11" t="s">
        <v>36</v>
      </c>
      <c r="D11" s="9"/>
      <c r="E11" s="8">
        <f aca="true" t="shared" si="2" ref="E11:K11">0.33*E9</f>
        <v>0.7590000000000001</v>
      </c>
      <c r="F11" s="8">
        <f t="shared" si="2"/>
        <v>4.0920000000000005</v>
      </c>
      <c r="G11" s="8">
        <f t="shared" si="2"/>
        <v>1.98</v>
      </c>
      <c r="H11" s="8">
        <f t="shared" si="2"/>
        <v>0.66</v>
      </c>
      <c r="I11" s="8">
        <f t="shared" si="2"/>
        <v>8.085</v>
      </c>
      <c r="J11" s="276">
        <f>0.33*J9</f>
        <v>0.42900000000000005</v>
      </c>
      <c r="K11" s="8">
        <f t="shared" si="2"/>
        <v>0.99</v>
      </c>
    </row>
    <row r="12" spans="1:11" ht="12.75">
      <c r="A12" t="s">
        <v>9</v>
      </c>
      <c r="C12" t="s">
        <v>37</v>
      </c>
      <c r="D12" s="9"/>
      <c r="E12" s="8">
        <f aca="true" t="shared" si="3" ref="E12:K12">0.12*E9</f>
        <v>0.276</v>
      </c>
      <c r="F12" s="8">
        <f t="shared" si="3"/>
        <v>1.488</v>
      </c>
      <c r="G12" s="8">
        <f t="shared" si="3"/>
        <v>0.72</v>
      </c>
      <c r="H12" s="8">
        <f t="shared" si="3"/>
        <v>0.24</v>
      </c>
      <c r="I12" s="8">
        <f t="shared" si="3"/>
        <v>2.94</v>
      </c>
      <c r="J12" s="276">
        <f>0.12*J9</f>
        <v>0.156</v>
      </c>
      <c r="K12" s="8">
        <f t="shared" si="3"/>
        <v>0.36</v>
      </c>
    </row>
    <row r="13" spans="5:11" ht="12.75">
      <c r="E13" s="7"/>
      <c r="F13" s="7"/>
      <c r="G13" s="7"/>
      <c r="H13" s="7"/>
      <c r="I13" s="7"/>
      <c r="J13" s="277"/>
      <c r="K13" s="7"/>
    </row>
    <row r="14" spans="1:11" ht="12.75">
      <c r="A14" t="s">
        <v>9</v>
      </c>
      <c r="B14" t="s">
        <v>10</v>
      </c>
      <c r="E14" s="10">
        <f aca="true" t="shared" si="4" ref="E14:K14">0.997*E10+0.942*E11+0.797*E12</f>
        <v>2.1961550000000005</v>
      </c>
      <c r="F14" s="10">
        <f t="shared" si="4"/>
        <v>11.840140000000002</v>
      </c>
      <c r="G14" s="10">
        <f t="shared" si="4"/>
        <v>5.7291</v>
      </c>
      <c r="H14" s="10">
        <f t="shared" si="4"/>
        <v>1.9097</v>
      </c>
      <c r="I14" s="10">
        <f t="shared" si="4"/>
        <v>23.393825000000003</v>
      </c>
      <c r="J14" s="278">
        <f>0.997*J10+0.942*J11+0.797*J12</f>
        <v>1.2413050000000003</v>
      </c>
      <c r="K14" s="10">
        <f t="shared" si="4"/>
        <v>2.86455</v>
      </c>
    </row>
    <row r="15" spans="1:11" ht="12.75">
      <c r="A15" t="s">
        <v>9</v>
      </c>
      <c r="B15" t="s">
        <v>11</v>
      </c>
      <c r="E15" s="11">
        <f aca="true" t="shared" si="5" ref="E15:K15">0.002*E10+0.018*E11+0.033*E12</f>
        <v>0.025300000000000003</v>
      </c>
      <c r="F15" s="11">
        <f t="shared" si="5"/>
        <v>0.1364</v>
      </c>
      <c r="G15" s="11">
        <f t="shared" si="5"/>
        <v>0.066</v>
      </c>
      <c r="H15" s="11">
        <f t="shared" si="5"/>
        <v>0.022</v>
      </c>
      <c r="I15" s="11">
        <f t="shared" si="5"/>
        <v>0.2695</v>
      </c>
      <c r="J15" s="279">
        <f>0.002*J10+0.018*J11+0.033*J12</f>
        <v>0.0143</v>
      </c>
      <c r="K15" s="11">
        <f t="shared" si="5"/>
        <v>0.033</v>
      </c>
    </row>
    <row r="16" spans="1:11" ht="12.75">
      <c r="A16" t="s">
        <v>9</v>
      </c>
      <c r="B16" t="s">
        <v>34</v>
      </c>
      <c r="E16" s="10">
        <f aca="true" t="shared" si="6" ref="E16:K16">0.0002*E10+0.028*E11+0.077*E12</f>
        <v>0.042757</v>
      </c>
      <c r="F16" s="10">
        <f t="shared" si="6"/>
        <v>0.230516</v>
      </c>
      <c r="G16" s="10">
        <f t="shared" si="6"/>
        <v>0.11154</v>
      </c>
      <c r="H16" s="10">
        <f t="shared" si="6"/>
        <v>0.037180000000000005</v>
      </c>
      <c r="I16" s="10">
        <f t="shared" si="6"/>
        <v>0.45545500000000005</v>
      </c>
      <c r="J16" s="278">
        <f>0.0002*J10+0.028*J11+0.077*J12</f>
        <v>0.024167</v>
      </c>
      <c r="K16" s="10">
        <f t="shared" si="6"/>
        <v>0.05577</v>
      </c>
    </row>
    <row r="17" spans="5:11" ht="12.75">
      <c r="E17" s="10"/>
      <c r="F17" s="10"/>
      <c r="G17" s="10"/>
      <c r="H17" s="10"/>
      <c r="I17" s="10"/>
      <c r="J17" s="278"/>
      <c r="K17" s="10"/>
    </row>
    <row r="18" spans="1:11" ht="12.75">
      <c r="A18" t="s">
        <v>8</v>
      </c>
      <c r="B18" t="s">
        <v>12</v>
      </c>
      <c r="E18" s="12">
        <f aca="true" t="shared" si="7" ref="E18:K18">E14+E15</f>
        <v>2.2214550000000006</v>
      </c>
      <c r="F18" s="12">
        <f t="shared" si="7"/>
        <v>11.976540000000002</v>
      </c>
      <c r="G18" s="12">
        <f t="shared" si="7"/>
        <v>5.7951</v>
      </c>
      <c r="H18" s="12">
        <f t="shared" si="7"/>
        <v>1.9317</v>
      </c>
      <c r="I18" s="12">
        <f t="shared" si="7"/>
        <v>23.663325000000004</v>
      </c>
      <c r="J18" s="280">
        <f>J14+J15</f>
        <v>1.2556050000000003</v>
      </c>
      <c r="K18" s="12">
        <f t="shared" si="7"/>
        <v>2.89755</v>
      </c>
    </row>
    <row r="19" spans="1:11" ht="12.75">
      <c r="A19" t="s">
        <v>8</v>
      </c>
      <c r="B19" t="s">
        <v>13</v>
      </c>
      <c r="E19" s="13">
        <f aca="true" t="shared" si="8" ref="E19:K19">E16</f>
        <v>0.042757</v>
      </c>
      <c r="F19" s="13">
        <f t="shared" si="8"/>
        <v>0.230516</v>
      </c>
      <c r="G19" s="13">
        <f t="shared" si="8"/>
        <v>0.11154</v>
      </c>
      <c r="H19" s="13">
        <f t="shared" si="8"/>
        <v>0.037180000000000005</v>
      </c>
      <c r="I19" s="13">
        <f t="shared" si="8"/>
        <v>0.45545500000000005</v>
      </c>
      <c r="J19" s="281">
        <f>J16</f>
        <v>0.024167</v>
      </c>
      <c r="K19" s="13">
        <f t="shared" si="8"/>
        <v>0.05577</v>
      </c>
    </row>
    <row r="21" spans="2:11" ht="12.75" hidden="1">
      <c r="B21" s="14" t="s">
        <v>14</v>
      </c>
      <c r="E21" s="7"/>
      <c r="F21" s="7"/>
      <c r="G21" s="7"/>
      <c r="H21" s="7"/>
      <c r="I21" s="7"/>
      <c r="J21" s="277"/>
      <c r="K21" s="7"/>
    </row>
    <row r="22" spans="2:11" ht="12.75" hidden="1">
      <c r="B22" t="s">
        <v>15</v>
      </c>
      <c r="E22" s="7"/>
      <c r="F22" s="7"/>
      <c r="G22" s="7"/>
      <c r="H22" s="7"/>
      <c r="I22" s="7"/>
      <c r="J22" s="277"/>
      <c r="K22" s="7"/>
    </row>
    <row r="23" spans="5:11" ht="12.75" hidden="1">
      <c r="E23" s="7"/>
      <c r="F23" s="7"/>
      <c r="G23" s="7"/>
      <c r="H23" s="7"/>
      <c r="I23" s="7"/>
      <c r="J23" s="277"/>
      <c r="K23" s="7"/>
    </row>
    <row r="24" spans="2:11" ht="12.75" hidden="1">
      <c r="B24" s="14" t="s">
        <v>16</v>
      </c>
      <c r="E24" s="7"/>
      <c r="F24" s="7"/>
      <c r="G24" s="7"/>
      <c r="H24" s="7"/>
      <c r="I24" s="7"/>
      <c r="J24" s="277"/>
      <c r="K24" s="7"/>
    </row>
    <row r="25" spans="2:11" ht="12.75" hidden="1">
      <c r="B25" t="s">
        <v>17</v>
      </c>
      <c r="E25" s="7">
        <v>2.25</v>
      </c>
      <c r="F25" s="7">
        <v>2.25</v>
      </c>
      <c r="G25" s="7">
        <v>2.25</v>
      </c>
      <c r="H25" s="7">
        <v>2.25</v>
      </c>
      <c r="I25" s="7">
        <v>2.25</v>
      </c>
      <c r="J25" s="277">
        <v>2.25</v>
      </c>
      <c r="K25" s="7">
        <v>2.25</v>
      </c>
    </row>
    <row r="26" spans="2:11" ht="12.75" hidden="1">
      <c r="B26" t="s">
        <v>7</v>
      </c>
      <c r="E26" s="7">
        <v>0.001</v>
      </c>
      <c r="F26" s="7">
        <v>0.001</v>
      </c>
      <c r="G26" s="7">
        <v>0.001</v>
      </c>
      <c r="H26" s="7">
        <v>0.001</v>
      </c>
      <c r="I26" s="7">
        <v>0.001</v>
      </c>
      <c r="J26" s="277">
        <v>0.001</v>
      </c>
      <c r="K26" s="7">
        <v>0.001</v>
      </c>
    </row>
    <row r="27" spans="5:11" ht="12.75" hidden="1">
      <c r="E27" s="7"/>
      <c r="F27" s="7"/>
      <c r="G27" s="7"/>
      <c r="H27" s="7"/>
      <c r="I27" s="7"/>
      <c r="J27" s="277"/>
      <c r="K27" s="7"/>
    </row>
    <row r="28" spans="5:11" ht="12.75" hidden="1">
      <c r="E28" s="7"/>
      <c r="F28" s="7"/>
      <c r="G28" s="7"/>
      <c r="H28" s="7"/>
      <c r="I28" s="7"/>
      <c r="J28" s="277"/>
      <c r="K28" s="7"/>
    </row>
    <row r="29" spans="5:11" ht="12.75" hidden="1">
      <c r="E29" s="7"/>
      <c r="F29" s="7"/>
      <c r="G29" s="7"/>
      <c r="H29" s="7"/>
      <c r="I29" s="7"/>
      <c r="J29" s="277"/>
      <c r="K29" s="7"/>
    </row>
    <row r="30" spans="2:11" ht="12.75" hidden="1">
      <c r="B30" t="s">
        <v>18</v>
      </c>
      <c r="E30" s="16">
        <f>E19+H26</f>
        <v>0.043757000000000004</v>
      </c>
      <c r="F30" s="16">
        <f>F19+I26</f>
        <v>0.231516</v>
      </c>
      <c r="G30" s="16">
        <f>G19+K26</f>
        <v>0.11254</v>
      </c>
      <c r="H30" s="16" t="e">
        <f>H19+#REF!</f>
        <v>#REF!</v>
      </c>
      <c r="I30" s="16" t="e">
        <f>I19+#REF!</f>
        <v>#REF!</v>
      </c>
      <c r="J30" s="282" t="e">
        <f>J19+#REF!</f>
        <v>#REF!</v>
      </c>
      <c r="K30" s="16" t="e">
        <f>K19+#REF!</f>
        <v>#REF!</v>
      </c>
    </row>
    <row r="31" spans="2:11" ht="12.75" hidden="1">
      <c r="B31" t="s">
        <v>19</v>
      </c>
      <c r="E31" s="17">
        <f>E18+H25</f>
        <v>4.471455000000001</v>
      </c>
      <c r="F31" s="17">
        <f>F18+I25</f>
        <v>14.226540000000002</v>
      </c>
      <c r="G31" s="17">
        <f>G18+K25</f>
        <v>8.0451</v>
      </c>
      <c r="H31" s="17" t="e">
        <f>H18+#REF!</f>
        <v>#REF!</v>
      </c>
      <c r="I31" s="17" t="e">
        <f>I18+#REF!</f>
        <v>#REF!</v>
      </c>
      <c r="J31" s="283" t="e">
        <f>J18+#REF!</f>
        <v>#REF!</v>
      </c>
      <c r="K31" s="17" t="e">
        <f>K18+#REF!</f>
        <v>#REF!</v>
      </c>
    </row>
    <row r="32" spans="2:11" ht="12.75" hidden="1">
      <c r="B32" t="s">
        <v>20</v>
      </c>
      <c r="E32" s="15">
        <f>H22</f>
        <v>0</v>
      </c>
      <c r="F32" s="15">
        <f>I22</f>
        <v>0</v>
      </c>
      <c r="G32" s="15">
        <f>K22</f>
        <v>0</v>
      </c>
      <c r="H32" s="15" t="e">
        <f>#REF!</f>
        <v>#REF!</v>
      </c>
      <c r="I32" s="15" t="e">
        <f>#REF!</f>
        <v>#REF!</v>
      </c>
      <c r="J32" s="284" t="e">
        <f>#REF!</f>
        <v>#REF!</v>
      </c>
      <c r="K32" s="15" t="e">
        <f>#REF!</f>
        <v>#REF!</v>
      </c>
    </row>
    <row r="33" spans="5:11" ht="12.75" hidden="1">
      <c r="E33" s="7"/>
      <c r="F33" s="7"/>
      <c r="G33" s="7"/>
      <c r="H33" s="7"/>
      <c r="I33" s="7"/>
      <c r="J33" s="277"/>
      <c r="K33" s="7"/>
    </row>
    <row r="34" spans="5:11" ht="12.75" hidden="1">
      <c r="E34" s="7"/>
      <c r="F34" s="7"/>
      <c r="G34" s="7"/>
      <c r="H34" s="7"/>
      <c r="I34" s="7"/>
      <c r="J34" s="277"/>
      <c r="K34" s="7"/>
    </row>
    <row r="35" ht="12.75" hidden="1"/>
    <row r="36" ht="12.75" hidden="1"/>
    <row r="37" ht="12.75" hidden="1">
      <c r="B37" s="14" t="s">
        <v>21</v>
      </c>
    </row>
    <row r="38" ht="12.75" hidden="1">
      <c r="B38" s="18">
        <f>63.2-15*LN(E31)</f>
        <v>40.73429211475313</v>
      </c>
    </row>
    <row r="39" spans="1:2" ht="12.75" hidden="1">
      <c r="A39">
        <f>-0.1167*E31</f>
        <v>-0.5218187985</v>
      </c>
      <c r="B39" s="18">
        <f>72.9*EXP(A39)</f>
        <v>43.261791865863685</v>
      </c>
    </row>
    <row r="40" ht="12.75" hidden="1">
      <c r="B40" s="18">
        <f>AVERAGE(B38:B39)</f>
        <v>41.99804199030841</v>
      </c>
    </row>
    <row r="41" spans="2:11" ht="12.75">
      <c r="B41" s="18"/>
      <c r="E41" s="18">
        <f aca="true" t="shared" si="9" ref="E41:K41">63.2-15*LN(E18)</f>
        <v>51.227564200920966</v>
      </c>
      <c r="F41" s="18">
        <f t="shared" si="9"/>
        <v>25.955753955782654</v>
      </c>
      <c r="G41" s="18">
        <f t="shared" si="9"/>
        <v>36.8448090065267</v>
      </c>
      <c r="H41" s="18">
        <f t="shared" si="9"/>
        <v>53.32399333654835</v>
      </c>
      <c r="I41" s="18">
        <f t="shared" si="9"/>
        <v>15.741104281687306</v>
      </c>
      <c r="J41" s="285">
        <f>63.2-15*LN(J18)</f>
        <v>59.78573707793515</v>
      </c>
      <c r="K41" s="18">
        <f t="shared" si="9"/>
        <v>47.24201671492588</v>
      </c>
    </row>
    <row r="42" spans="2:11" ht="12.75">
      <c r="B42" s="18"/>
      <c r="E42" s="18">
        <f aca="true" t="shared" si="10" ref="E42:K42">-0.1167*(E18)</f>
        <v>-0.25924379850000007</v>
      </c>
      <c r="F42" s="18">
        <f t="shared" si="10"/>
        <v>-1.3976622180000002</v>
      </c>
      <c r="G42" s="18">
        <f t="shared" si="10"/>
        <v>-0.67628817</v>
      </c>
      <c r="H42" s="18">
        <f t="shared" si="10"/>
        <v>-0.22542938999999998</v>
      </c>
      <c r="I42" s="18">
        <f t="shared" si="10"/>
        <v>-2.7615100275000004</v>
      </c>
      <c r="J42" s="285">
        <f>-0.1167*(J18)</f>
        <v>-0.14652910350000004</v>
      </c>
      <c r="K42" s="18">
        <f t="shared" si="10"/>
        <v>-0.338144085</v>
      </c>
    </row>
    <row r="43" spans="2:11" ht="12.75">
      <c r="B43" s="18"/>
      <c r="E43" s="18">
        <f aca="true" t="shared" si="11" ref="E43:K43">72.9*EXP(E42)</f>
        <v>56.25218251028197</v>
      </c>
      <c r="F43" s="18">
        <f t="shared" si="11"/>
        <v>18.018993950480976</v>
      </c>
      <c r="G43" s="18">
        <f t="shared" si="11"/>
        <v>37.0697201912086</v>
      </c>
      <c r="H43" s="18">
        <f t="shared" si="11"/>
        <v>58.186842134524625</v>
      </c>
      <c r="I43" s="18">
        <f t="shared" si="11"/>
        <v>4.607007949665612</v>
      </c>
      <c r="J43" s="285">
        <f t="shared" si="11"/>
        <v>62.96377339435934</v>
      </c>
      <c r="K43" s="18">
        <f t="shared" si="11"/>
        <v>51.984445769278985</v>
      </c>
    </row>
    <row r="44" spans="2:11" ht="12.75">
      <c r="B44" s="18"/>
      <c r="C44" s="14" t="s">
        <v>23</v>
      </c>
      <c r="E44" s="22">
        <f aca="true" t="shared" si="12" ref="E44:K44">AVERAGE(E41,E43)</f>
        <v>53.73987335560147</v>
      </c>
      <c r="F44" s="22">
        <f t="shared" si="12"/>
        <v>21.987373953131815</v>
      </c>
      <c r="G44" s="22">
        <f t="shared" si="12"/>
        <v>36.95726459886765</v>
      </c>
      <c r="H44" s="22">
        <f t="shared" si="12"/>
        <v>55.75541773553648</v>
      </c>
      <c r="I44" s="22">
        <v>20</v>
      </c>
      <c r="J44" s="301">
        <f t="shared" si="12"/>
        <v>61.37475523614725</v>
      </c>
      <c r="K44" s="22">
        <f t="shared" si="12"/>
        <v>49.61323124210243</v>
      </c>
    </row>
    <row r="46" spans="2:11" ht="41.25" customHeight="1">
      <c r="B46" s="19" t="s">
        <v>22</v>
      </c>
      <c r="D46" s="19"/>
      <c r="F46" s="19"/>
      <c r="G46" s="19"/>
      <c r="H46" s="19"/>
      <c r="I46" s="19"/>
      <c r="J46" s="287"/>
      <c r="K46" s="19"/>
    </row>
    <row r="47" spans="1:11" ht="12.75">
      <c r="A47" t="s">
        <v>8</v>
      </c>
      <c r="B47" t="s">
        <v>38</v>
      </c>
      <c r="D47" s="20"/>
      <c r="E47" s="13">
        <f aca="true" t="shared" si="13" ref="E47:K47">E19*100/100</f>
        <v>0.042757</v>
      </c>
      <c r="F47" s="13">
        <f t="shared" si="13"/>
        <v>0.230516</v>
      </c>
      <c r="G47" s="13">
        <f t="shared" si="13"/>
        <v>0.11154</v>
      </c>
      <c r="H47" s="13">
        <f t="shared" si="13"/>
        <v>0.037180000000000005</v>
      </c>
      <c r="I47" s="13">
        <f t="shared" si="13"/>
        <v>0.45545500000000005</v>
      </c>
      <c r="J47" s="281">
        <f>J19*100/100</f>
        <v>0.024167</v>
      </c>
      <c r="K47" s="13">
        <f t="shared" si="13"/>
        <v>0.05577</v>
      </c>
    </row>
    <row r="48" spans="1:11" ht="12.75">
      <c r="A48" t="s">
        <v>8</v>
      </c>
      <c r="B48" t="s">
        <v>24</v>
      </c>
      <c r="D48" s="21"/>
      <c r="E48" s="12">
        <f aca="true" t="shared" si="14" ref="E48:K48">E18*E44/100</f>
        <v>1.1938071036516769</v>
      </c>
      <c r="F48" s="12">
        <f t="shared" si="14"/>
        <v>2.6333266364464136</v>
      </c>
      <c r="G48" s="12">
        <f t="shared" si="14"/>
        <v>2.1417104407689793</v>
      </c>
      <c r="H48" s="12">
        <f t="shared" si="14"/>
        <v>1.0770274043973582</v>
      </c>
      <c r="I48" s="12">
        <f t="shared" si="14"/>
        <v>4.732665000000001</v>
      </c>
      <c r="J48" s="280">
        <f t="shared" si="14"/>
        <v>0.7706244954828269</v>
      </c>
      <c r="K48" s="12">
        <f t="shared" si="14"/>
        <v>1.437568181855539</v>
      </c>
    </row>
    <row r="49" spans="2:11" ht="12.75">
      <c r="B49" t="s">
        <v>25</v>
      </c>
      <c r="E49" s="10">
        <f aca="true" t="shared" si="15" ref="E49:K49">SUM(E47:E48)</f>
        <v>1.2365641036516768</v>
      </c>
      <c r="F49" s="10">
        <f t="shared" si="15"/>
        <v>2.863842636446414</v>
      </c>
      <c r="G49" s="10">
        <f t="shared" si="15"/>
        <v>2.2532504407689795</v>
      </c>
      <c r="H49" s="10">
        <f t="shared" si="15"/>
        <v>1.1142074043973582</v>
      </c>
      <c r="I49" s="10">
        <f t="shared" si="15"/>
        <v>5.1881200000000005</v>
      </c>
      <c r="J49" s="278">
        <f t="shared" si="15"/>
        <v>0.7947914954828269</v>
      </c>
      <c r="K49" s="10">
        <f t="shared" si="15"/>
        <v>1.4933381818555391</v>
      </c>
    </row>
    <row r="50" spans="1:11" ht="12.75">
      <c r="A50" s="71" t="s">
        <v>52</v>
      </c>
      <c r="E50" s="326">
        <f>E49*(240/365)/70</f>
        <v>0.011615474946238841</v>
      </c>
      <c r="F50" s="326">
        <f aca="true" t="shared" si="16" ref="F50:K50">F49*(240/365)/70</f>
        <v>0.026901065860944786</v>
      </c>
      <c r="G50" s="326">
        <f t="shared" si="16"/>
        <v>0.02116556187023699</v>
      </c>
      <c r="H50" s="326">
        <f t="shared" si="16"/>
        <v>0.01046613608827264</v>
      </c>
      <c r="I50" s="326">
        <f t="shared" si="16"/>
        <v>0.04873380821917808</v>
      </c>
      <c r="J50" s="325">
        <f t="shared" si="16"/>
        <v>0.007465751816668433</v>
      </c>
      <c r="K50" s="326">
        <f t="shared" si="16"/>
        <v>0.014027442804122481</v>
      </c>
    </row>
    <row r="52" ht="12.75">
      <c r="B52" s="6" t="s">
        <v>14</v>
      </c>
    </row>
    <row r="53" spans="1:11" ht="12.75">
      <c r="A53" t="s">
        <v>8</v>
      </c>
      <c r="B53" t="s">
        <v>26</v>
      </c>
      <c r="E53" s="15">
        <v>85</v>
      </c>
      <c r="F53" s="15">
        <v>85</v>
      </c>
      <c r="G53" s="15">
        <v>85</v>
      </c>
      <c r="H53" s="15">
        <v>85</v>
      </c>
      <c r="I53" s="15">
        <v>85</v>
      </c>
      <c r="J53" s="284">
        <v>86</v>
      </c>
      <c r="K53" s="15">
        <v>85</v>
      </c>
    </row>
    <row r="54" spans="1:11" ht="12.75">
      <c r="A54" t="s">
        <v>8</v>
      </c>
      <c r="B54" t="s">
        <v>27</v>
      </c>
      <c r="E54" s="167">
        <f aca="true" t="shared" si="17" ref="E54:K54">E53*0.3/100</f>
        <v>0.255</v>
      </c>
      <c r="F54" s="167">
        <f t="shared" si="17"/>
        <v>0.255</v>
      </c>
      <c r="G54" s="167">
        <f t="shared" si="17"/>
        <v>0.255</v>
      </c>
      <c r="H54" s="167">
        <f t="shared" si="17"/>
        <v>0.255</v>
      </c>
      <c r="I54" s="167">
        <f t="shared" si="17"/>
        <v>0.255</v>
      </c>
      <c r="J54" s="323">
        <f t="shared" si="17"/>
        <v>0.258</v>
      </c>
      <c r="K54" s="167">
        <f t="shared" si="17"/>
        <v>0.255</v>
      </c>
    </row>
    <row r="55" spans="1:11" ht="12.75">
      <c r="A55" s="71" t="s">
        <v>52</v>
      </c>
      <c r="E55" s="67">
        <f aca="true" t="shared" si="18" ref="E55:K55">E54*(240/365)/70</f>
        <v>0.002395303326810176</v>
      </c>
      <c r="F55" s="67">
        <f t="shared" si="18"/>
        <v>0.002395303326810176</v>
      </c>
      <c r="G55" s="67">
        <f t="shared" si="18"/>
        <v>0.002395303326810176</v>
      </c>
      <c r="H55" s="67">
        <f t="shared" si="18"/>
        <v>0.002395303326810176</v>
      </c>
      <c r="I55" s="67">
        <f t="shared" si="18"/>
        <v>0.002395303326810176</v>
      </c>
      <c r="J55" s="69">
        <f t="shared" si="18"/>
        <v>0.0024234833659491192</v>
      </c>
      <c r="K55" s="67">
        <f t="shared" si="18"/>
        <v>0.002395303326810176</v>
      </c>
    </row>
    <row r="56" spans="1:11" ht="12.75">
      <c r="A56" s="71"/>
      <c r="E56" s="79"/>
      <c r="F56" s="79"/>
      <c r="G56" s="79"/>
      <c r="H56" s="79"/>
      <c r="I56" s="79"/>
      <c r="J56" s="327"/>
      <c r="K56" s="79"/>
    </row>
    <row r="57" spans="1:11" ht="13.5" thickBot="1">
      <c r="A57" s="71"/>
      <c r="B57" s="6" t="s">
        <v>54</v>
      </c>
      <c r="E57" s="79"/>
      <c r="F57" s="79"/>
      <c r="G57" s="79"/>
      <c r="H57" s="79"/>
      <c r="I57" s="79"/>
      <c r="J57" s="327"/>
      <c r="K57" s="79"/>
    </row>
    <row r="58" spans="1:11" ht="21.75" customHeight="1">
      <c r="A58" s="185" t="s">
        <v>8</v>
      </c>
      <c r="B58" s="333" t="s">
        <v>28</v>
      </c>
      <c r="C58" s="333"/>
      <c r="D58" s="333"/>
      <c r="E58" s="186">
        <f aca="true" t="shared" si="19" ref="E58:K58">(E47+E48+E54)*240/365</f>
        <v>0.9807544791134314</v>
      </c>
      <c r="F58" s="186">
        <f t="shared" si="19"/>
        <v>2.050745843142847</v>
      </c>
      <c r="G58" s="186">
        <f t="shared" si="19"/>
        <v>1.6492605637933013</v>
      </c>
      <c r="H58" s="186">
        <f t="shared" si="19"/>
        <v>0.9003007590557971</v>
      </c>
      <c r="I58" s="186">
        <f t="shared" si="19"/>
        <v>3.5790378082191787</v>
      </c>
      <c r="J58" s="258">
        <f t="shared" si="19"/>
        <v>0.6922464627832285</v>
      </c>
      <c r="K58" s="42">
        <f t="shared" si="19"/>
        <v>1.149592229165286</v>
      </c>
    </row>
    <row r="59" spans="1:11" ht="12.75">
      <c r="A59" s="178" t="s">
        <v>39</v>
      </c>
      <c r="B59" s="23"/>
      <c r="C59" s="23"/>
      <c r="D59" s="23"/>
      <c r="E59" s="192">
        <f aca="true" t="shared" si="20" ref="E59:K59">E58/70</f>
        <v>0.01401077827304902</v>
      </c>
      <c r="F59" s="192">
        <f t="shared" si="20"/>
        <v>0.02929636918775496</v>
      </c>
      <c r="G59" s="192">
        <f t="shared" si="20"/>
        <v>0.02356086519704716</v>
      </c>
      <c r="H59" s="192">
        <f t="shared" si="20"/>
        <v>0.012861439415082816</v>
      </c>
      <c r="I59" s="192">
        <f t="shared" si="20"/>
        <v>0.051129111545988266</v>
      </c>
      <c r="J59" s="233">
        <f t="shared" si="20"/>
        <v>0.009889235182617551</v>
      </c>
      <c r="K59" s="43">
        <f t="shared" si="20"/>
        <v>0.01642274613093266</v>
      </c>
    </row>
    <row r="60" spans="1:11" ht="13.5" thickBot="1">
      <c r="A60" s="37"/>
      <c r="B60" s="39"/>
      <c r="C60" s="38" t="s">
        <v>40</v>
      </c>
      <c r="D60" s="39"/>
      <c r="E60" s="181">
        <f aca="true" t="shared" si="21" ref="E60:K60">4.075/E59</f>
        <v>290.8475118643927</v>
      </c>
      <c r="F60" s="181">
        <f t="shared" si="21"/>
        <v>139.0957348292577</v>
      </c>
      <c r="G60" s="181">
        <f t="shared" si="21"/>
        <v>172.9562970595287</v>
      </c>
      <c r="H60" s="181">
        <f t="shared" si="21"/>
        <v>316.83856436948906</v>
      </c>
      <c r="I60" s="181">
        <f t="shared" si="21"/>
        <v>79.70019186300013</v>
      </c>
      <c r="J60" s="295">
        <f t="shared" si="21"/>
        <v>412.06422182806267</v>
      </c>
      <c r="K60" s="44">
        <f t="shared" si="21"/>
        <v>248.13146154190585</v>
      </c>
    </row>
    <row r="62" spans="1:15" ht="12.75">
      <c r="A62" s="32"/>
      <c r="B62" s="33" t="s">
        <v>55</v>
      </c>
      <c r="C62" s="32"/>
      <c r="D62" s="32"/>
      <c r="E62" s="32"/>
      <c r="F62" s="32"/>
      <c r="G62" s="32"/>
      <c r="H62" s="32"/>
      <c r="I62" s="73"/>
      <c r="J62" s="191"/>
      <c r="K62" s="32"/>
      <c r="L62" s="25"/>
      <c r="M62" s="25"/>
      <c r="N62" s="25"/>
      <c r="O62" s="25"/>
    </row>
    <row r="63" spans="1:11" ht="12.75">
      <c r="A63" t="s">
        <v>8</v>
      </c>
      <c r="B63" t="s">
        <v>29</v>
      </c>
      <c r="E63" s="5">
        <v>1.44</v>
      </c>
      <c r="F63" s="5">
        <v>1.44</v>
      </c>
      <c r="G63" s="5">
        <v>1.44</v>
      </c>
      <c r="H63" s="5">
        <v>1.44</v>
      </c>
      <c r="I63" s="5">
        <v>1.44</v>
      </c>
      <c r="J63" s="193">
        <v>1.44</v>
      </c>
      <c r="K63" s="5">
        <v>1.44</v>
      </c>
    </row>
    <row r="64" spans="1:11" ht="12.75">
      <c r="A64" t="s">
        <v>8</v>
      </c>
      <c r="B64" t="s">
        <v>41</v>
      </c>
      <c r="E64" s="3">
        <v>0.057</v>
      </c>
      <c r="F64" s="3">
        <v>0.057</v>
      </c>
      <c r="G64" s="3">
        <v>0.057</v>
      </c>
      <c r="H64" s="3">
        <v>0.057</v>
      </c>
      <c r="I64" s="3">
        <v>0.057</v>
      </c>
      <c r="J64" s="188">
        <v>0.057</v>
      </c>
      <c r="K64" s="3">
        <v>0.057</v>
      </c>
    </row>
    <row r="65" spans="1:11" ht="12.75">
      <c r="A65" t="s">
        <v>8</v>
      </c>
      <c r="B65" t="s">
        <v>30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188">
        <v>0</v>
      </c>
      <c r="K65" s="3">
        <v>0</v>
      </c>
    </row>
    <row r="66" spans="1:11" ht="12.75">
      <c r="A66" t="s">
        <v>8</v>
      </c>
      <c r="B66" t="s">
        <v>31</v>
      </c>
      <c r="E66" s="4">
        <v>0.14</v>
      </c>
      <c r="F66" s="4">
        <v>0.14</v>
      </c>
      <c r="G66" s="4">
        <v>0.14</v>
      </c>
      <c r="H66" s="4">
        <v>0.14</v>
      </c>
      <c r="I66" s="4">
        <v>0.14</v>
      </c>
      <c r="J66" s="296">
        <v>0.14</v>
      </c>
      <c r="K66" s="4">
        <v>0.14</v>
      </c>
    </row>
    <row r="67" spans="5:11" ht="12.75">
      <c r="E67" s="25"/>
      <c r="F67" s="25"/>
      <c r="G67" s="25"/>
      <c r="H67" s="25"/>
      <c r="I67" s="25"/>
      <c r="J67" s="297"/>
      <c r="K67" s="25"/>
    </row>
    <row r="68" spans="5:11" ht="12.75">
      <c r="E68" s="28">
        <f aca="true" t="shared" si="22" ref="E68:K68">63.2-15*LN(E18+E63)</f>
        <v>43.73209085902399</v>
      </c>
      <c r="F68" s="28">
        <f t="shared" si="22"/>
        <v>24.252675887628385</v>
      </c>
      <c r="G68" s="28">
        <f t="shared" si="22"/>
        <v>33.51583727468004</v>
      </c>
      <c r="H68" s="28">
        <f t="shared" si="22"/>
        <v>44.968743976847094</v>
      </c>
      <c r="I68" s="28">
        <f t="shared" si="22"/>
        <v>14.854995387741972</v>
      </c>
      <c r="J68" s="298">
        <f t="shared" si="22"/>
        <v>48.325659965557776</v>
      </c>
      <c r="K68" s="28">
        <f t="shared" si="22"/>
        <v>41.19035491123911</v>
      </c>
    </row>
    <row r="69" spans="5:11" ht="12.75">
      <c r="E69" s="18">
        <f aca="true" t="shared" si="23" ref="E69:K69">-0.1167*(E18+E63)</f>
        <v>-0.42729179850000004</v>
      </c>
      <c r="F69" s="18">
        <f t="shared" si="23"/>
        <v>-1.5657102180000002</v>
      </c>
      <c r="G69" s="18">
        <f t="shared" si="23"/>
        <v>-0.8443361699999999</v>
      </c>
      <c r="H69" s="18">
        <f t="shared" si="23"/>
        <v>-0.39347739</v>
      </c>
      <c r="I69" s="18">
        <f t="shared" si="23"/>
        <v>-2.9295580275000006</v>
      </c>
      <c r="J69" s="285">
        <f t="shared" si="23"/>
        <v>-0.31457710350000007</v>
      </c>
      <c r="K69" s="18">
        <f t="shared" si="23"/>
        <v>-0.506192085</v>
      </c>
    </row>
    <row r="70" spans="5:11" ht="12.75">
      <c r="E70" s="28">
        <f aca="true" t="shared" si="24" ref="E70:K70">72.9*EXP(E69)</f>
        <v>47.550715705315</v>
      </c>
      <c r="F70" s="28">
        <f t="shared" si="24"/>
        <v>15.231694494315843</v>
      </c>
      <c r="G70" s="28">
        <f t="shared" si="24"/>
        <v>31.335525972979713</v>
      </c>
      <c r="H70" s="28">
        <f t="shared" si="24"/>
        <v>49.186109136709405</v>
      </c>
      <c r="I70" s="28">
        <f t="shared" si="24"/>
        <v>3.894364902670824</v>
      </c>
      <c r="J70" s="298">
        <f t="shared" si="24"/>
        <v>53.22411246642402</v>
      </c>
      <c r="K70" s="28">
        <f t="shared" si="24"/>
        <v>43.94314125361319</v>
      </c>
    </row>
    <row r="71" spans="3:11" ht="12.75">
      <c r="C71" s="14" t="s">
        <v>21</v>
      </c>
      <c r="E71" s="22">
        <f aca="true" t="shared" si="25" ref="E71:K71">AVERAGE(E68,E70)</f>
        <v>45.64140328216949</v>
      </c>
      <c r="F71" s="22">
        <f t="shared" si="25"/>
        <v>19.742185190972116</v>
      </c>
      <c r="G71" s="22">
        <f t="shared" si="25"/>
        <v>32.425681623829874</v>
      </c>
      <c r="H71" s="22">
        <f t="shared" si="25"/>
        <v>47.07742655677825</v>
      </c>
      <c r="I71" s="22">
        <v>20</v>
      </c>
      <c r="J71" s="301">
        <f t="shared" si="25"/>
        <v>50.7748862159909</v>
      </c>
      <c r="K71" s="22">
        <f t="shared" si="25"/>
        <v>42.56674808242615</v>
      </c>
    </row>
    <row r="72" spans="3:11" s="25" customFormat="1" ht="12.75">
      <c r="C72" s="196"/>
      <c r="E72" s="194"/>
      <c r="F72" s="194"/>
      <c r="G72" s="194"/>
      <c r="H72" s="194"/>
      <c r="I72" s="194"/>
      <c r="J72" s="308"/>
      <c r="K72" s="194"/>
    </row>
    <row r="73" spans="1:15" ht="12.75">
      <c r="A73" s="32"/>
      <c r="B73" s="33" t="s">
        <v>32</v>
      </c>
      <c r="C73" s="32"/>
      <c r="D73" s="32"/>
      <c r="E73" s="32"/>
      <c r="F73" s="32"/>
      <c r="G73" s="32"/>
      <c r="H73" s="32"/>
      <c r="I73" s="73"/>
      <c r="J73" s="191"/>
      <c r="K73" s="32"/>
      <c r="L73" s="25"/>
      <c r="M73" s="25"/>
      <c r="N73" s="25"/>
      <c r="O73" s="25"/>
    </row>
    <row r="74" spans="1:11" ht="12.75">
      <c r="A74" t="s">
        <v>8</v>
      </c>
      <c r="B74" t="s">
        <v>86</v>
      </c>
      <c r="D74" s="20"/>
      <c r="E74" s="26">
        <f>E63*E71/100</f>
        <v>0.6572362072632407</v>
      </c>
      <c r="F74" s="26">
        <f aca="true" t="shared" si="26" ref="F74:K74">F63*F71/100</f>
        <v>0.28428746674999844</v>
      </c>
      <c r="G74" s="26">
        <f t="shared" si="26"/>
        <v>0.46692981538315015</v>
      </c>
      <c r="H74" s="26">
        <f t="shared" si="26"/>
        <v>0.6779149424176067</v>
      </c>
      <c r="I74" s="26">
        <f t="shared" si="26"/>
        <v>0.288</v>
      </c>
      <c r="J74" s="187">
        <f t="shared" si="26"/>
        <v>0.7311583615102688</v>
      </c>
      <c r="K74" s="26">
        <f t="shared" si="26"/>
        <v>0.6129611723869366</v>
      </c>
    </row>
    <row r="75" spans="1:11" ht="12.75">
      <c r="A75" t="s">
        <v>8</v>
      </c>
      <c r="B75" t="s">
        <v>87</v>
      </c>
      <c r="D75" s="21"/>
      <c r="E75" s="3">
        <f>(E64+E65)*1</f>
        <v>0.057</v>
      </c>
      <c r="F75" s="3">
        <f aca="true" t="shared" si="27" ref="F75:K75">(F64+F65)*1</f>
        <v>0.057</v>
      </c>
      <c r="G75" s="3">
        <f t="shared" si="27"/>
        <v>0.057</v>
      </c>
      <c r="H75" s="3">
        <f t="shared" si="27"/>
        <v>0.057</v>
      </c>
      <c r="I75" s="3">
        <f t="shared" si="27"/>
        <v>0.057</v>
      </c>
      <c r="J75" s="188">
        <f t="shared" si="27"/>
        <v>0.057</v>
      </c>
      <c r="K75" s="3">
        <f t="shared" si="27"/>
        <v>0.057</v>
      </c>
    </row>
    <row r="76" spans="1:11" ht="12.75">
      <c r="A76" t="s">
        <v>8</v>
      </c>
      <c r="B76" t="s">
        <v>88</v>
      </c>
      <c r="D76" s="7"/>
      <c r="E76" s="27">
        <f>E66*0.3/100</f>
        <v>0.00042</v>
      </c>
      <c r="F76" s="27">
        <f aca="true" t="shared" si="28" ref="F76:K76">F66*0.3/100</f>
        <v>0.00042</v>
      </c>
      <c r="G76" s="27">
        <f t="shared" si="28"/>
        <v>0.00042</v>
      </c>
      <c r="H76" s="27">
        <f t="shared" si="28"/>
        <v>0.00042</v>
      </c>
      <c r="I76" s="27">
        <f t="shared" si="28"/>
        <v>0.00042</v>
      </c>
      <c r="J76" s="189">
        <f t="shared" si="28"/>
        <v>0.00042</v>
      </c>
      <c r="K76" s="27">
        <f t="shared" si="28"/>
        <v>0.00042</v>
      </c>
    </row>
    <row r="77" spans="1:11" ht="12.75">
      <c r="A77" s="41" t="s">
        <v>8</v>
      </c>
      <c r="B77" s="41" t="s">
        <v>89</v>
      </c>
      <c r="C77" s="247"/>
      <c r="D77" s="247"/>
      <c r="E77" s="310">
        <f>SUM(E74:E76)</f>
        <v>0.7146562072632408</v>
      </c>
      <c r="F77" s="310">
        <f aca="true" t="shared" si="29" ref="F77:K77">SUM(F74:F76)</f>
        <v>0.3417074667499984</v>
      </c>
      <c r="G77" s="310">
        <f t="shared" si="29"/>
        <v>0.5243498153831502</v>
      </c>
      <c r="H77" s="310">
        <f t="shared" si="29"/>
        <v>0.7353349424176068</v>
      </c>
      <c r="I77" s="310">
        <f t="shared" si="29"/>
        <v>0.34541999999999995</v>
      </c>
      <c r="J77" s="311">
        <f t="shared" si="29"/>
        <v>0.7885783615102688</v>
      </c>
      <c r="K77" s="310">
        <f t="shared" si="29"/>
        <v>0.6703811723869366</v>
      </c>
    </row>
    <row r="78" spans="1:11" ht="12.75">
      <c r="A78" s="24" t="s">
        <v>39</v>
      </c>
      <c r="B78" s="24" t="s">
        <v>89</v>
      </c>
      <c r="E78" s="72">
        <f>E77/70</f>
        <v>0.010209374389474868</v>
      </c>
      <c r="F78" s="72">
        <f aca="true" t="shared" si="30" ref="F78:K78">F77/70</f>
        <v>0.004881535239285691</v>
      </c>
      <c r="G78" s="72">
        <f t="shared" si="30"/>
        <v>0.007490711648330717</v>
      </c>
      <c r="H78" s="72">
        <f t="shared" si="30"/>
        <v>0.010504784891680097</v>
      </c>
      <c r="I78" s="72">
        <f t="shared" si="30"/>
        <v>0.004934571428571428</v>
      </c>
      <c r="J78" s="190">
        <f t="shared" si="30"/>
        <v>0.011265405164432411</v>
      </c>
      <c r="K78" s="72">
        <f t="shared" si="30"/>
        <v>0.009576873891241951</v>
      </c>
    </row>
    <row r="79" spans="1:11" ht="12.75">
      <c r="A79" s="24"/>
      <c r="B79" s="24"/>
      <c r="E79" s="72"/>
      <c r="F79" s="72"/>
      <c r="G79" s="72"/>
      <c r="H79" s="72"/>
      <c r="I79" s="72"/>
      <c r="J79" s="328"/>
      <c r="K79" s="72"/>
    </row>
    <row r="80" spans="1:11" ht="12.75">
      <c r="A80" t="s">
        <v>8</v>
      </c>
      <c r="B80" t="s">
        <v>90</v>
      </c>
      <c r="E80" s="317">
        <f>E71*E18*(240/365)/(100)</f>
        <v>0.6666760999113984</v>
      </c>
      <c r="F80" s="317">
        <f aca="true" t="shared" si="31" ref="F80:K80">F71*F18*(240/365)/(100)</f>
        <v>1.5546941630274094</v>
      </c>
      <c r="G80" s="317">
        <f t="shared" si="31"/>
        <v>1.2355730470899058</v>
      </c>
      <c r="H80" s="317">
        <f t="shared" si="31"/>
        <v>0.5979581252365712</v>
      </c>
      <c r="I80" s="317">
        <f t="shared" si="31"/>
        <v>3.111889315068493</v>
      </c>
      <c r="J80" s="320">
        <f t="shared" si="31"/>
        <v>0.4191991299105486</v>
      </c>
      <c r="K80" s="317">
        <f t="shared" si="31"/>
        <v>0.8109980114382502</v>
      </c>
    </row>
    <row r="81" spans="1:11" ht="12.75">
      <c r="A81" t="s">
        <v>8</v>
      </c>
      <c r="B81" t="s">
        <v>91</v>
      </c>
      <c r="E81" s="318">
        <f>E53*0.3*(240/365)/(100)</f>
        <v>0.16767123287671232</v>
      </c>
      <c r="F81" s="318">
        <f aca="true" t="shared" si="32" ref="F81:K81">F53*0.3*(240/365)/(100)</f>
        <v>0.16767123287671232</v>
      </c>
      <c r="G81" s="318">
        <f t="shared" si="32"/>
        <v>0.16767123287671232</v>
      </c>
      <c r="H81" s="318">
        <f t="shared" si="32"/>
        <v>0.16767123287671232</v>
      </c>
      <c r="I81" s="318">
        <f t="shared" si="32"/>
        <v>0.16767123287671232</v>
      </c>
      <c r="J81" s="321">
        <f t="shared" si="32"/>
        <v>0.16964383561643837</v>
      </c>
      <c r="K81" s="318">
        <f t="shared" si="32"/>
        <v>0.16767123287671232</v>
      </c>
    </row>
    <row r="82" spans="1:11" ht="12.75">
      <c r="A82" t="s">
        <v>8</v>
      </c>
      <c r="B82" t="s">
        <v>92</v>
      </c>
      <c r="E82" s="319">
        <f>E47*(240/365)</f>
        <v>0.028114191780821918</v>
      </c>
      <c r="F82" s="319">
        <f aca="true" t="shared" si="33" ref="F82:K82">F47*(240/365)</f>
        <v>0.15157216438356164</v>
      </c>
      <c r="G82" s="319">
        <f t="shared" si="33"/>
        <v>0.07334136986301369</v>
      </c>
      <c r="H82" s="319">
        <f t="shared" si="33"/>
        <v>0.024447123287671235</v>
      </c>
      <c r="I82" s="319">
        <f t="shared" si="33"/>
        <v>0.29947726027397265</v>
      </c>
      <c r="J82" s="322">
        <f t="shared" si="33"/>
        <v>0.0158906301369863</v>
      </c>
      <c r="K82" s="319">
        <f t="shared" si="33"/>
        <v>0.036670684931506846</v>
      </c>
    </row>
    <row r="83" spans="1:11" ht="12.75">
      <c r="A83" s="41" t="s">
        <v>8</v>
      </c>
      <c r="B83" s="41" t="s">
        <v>93</v>
      </c>
      <c r="C83" s="247"/>
      <c r="D83" s="247"/>
      <c r="E83" s="310">
        <f>SUM(E80:E82)</f>
        <v>0.8624615245689327</v>
      </c>
      <c r="F83" s="310">
        <f aca="true" t="shared" si="34" ref="F83:K83">SUM(F80:F82)</f>
        <v>1.8739375602876833</v>
      </c>
      <c r="G83" s="310">
        <f t="shared" si="34"/>
        <v>1.4765856498296317</v>
      </c>
      <c r="H83" s="310">
        <f t="shared" si="34"/>
        <v>0.7900764814009549</v>
      </c>
      <c r="I83" s="310">
        <f t="shared" si="34"/>
        <v>3.5790378082191783</v>
      </c>
      <c r="J83" s="311">
        <f t="shared" si="34"/>
        <v>0.6047335956639732</v>
      </c>
      <c r="K83" s="310">
        <f t="shared" si="34"/>
        <v>1.0153399292464693</v>
      </c>
    </row>
    <row r="84" spans="1:11" ht="12.75">
      <c r="A84" s="24" t="s">
        <v>39</v>
      </c>
      <c r="B84" s="24" t="s">
        <v>93</v>
      </c>
      <c r="D84" s="7"/>
      <c r="E84" s="72">
        <f aca="true" t="shared" si="35" ref="E84:K84">E83/70</f>
        <v>0.012320878922413323</v>
      </c>
      <c r="F84" s="72">
        <f t="shared" si="35"/>
        <v>0.026770536575538333</v>
      </c>
      <c r="G84" s="72">
        <f t="shared" si="35"/>
        <v>0.02109408071185188</v>
      </c>
      <c r="H84" s="72">
        <f t="shared" si="35"/>
        <v>0.011286806877156498</v>
      </c>
      <c r="I84" s="72">
        <f t="shared" si="35"/>
        <v>0.05112911154598826</v>
      </c>
      <c r="J84" s="190">
        <f t="shared" si="35"/>
        <v>0.00863905136662819</v>
      </c>
      <c r="K84" s="72">
        <f t="shared" si="35"/>
        <v>0.014504856132092419</v>
      </c>
    </row>
    <row r="85" ht="13.5" thickBot="1"/>
    <row r="86" spans="1:11" ht="38.25" customHeight="1">
      <c r="A86" s="45" t="s">
        <v>8</v>
      </c>
      <c r="B86" s="332" t="s">
        <v>32</v>
      </c>
      <c r="C86" s="333"/>
      <c r="D86" s="333"/>
      <c r="E86" s="42">
        <f>E77+E83</f>
        <v>1.5771177318321734</v>
      </c>
      <c r="F86" s="42">
        <f aca="true" t="shared" si="36" ref="F86:K86">F77+F83</f>
        <v>2.2156450270376817</v>
      </c>
      <c r="G86" s="42">
        <f t="shared" si="36"/>
        <v>2.0009354652127818</v>
      </c>
      <c r="H86" s="42">
        <f t="shared" si="36"/>
        <v>1.5254114238185617</v>
      </c>
      <c r="I86" s="42">
        <f t="shared" si="36"/>
        <v>3.924457808219178</v>
      </c>
      <c r="J86" s="80">
        <f t="shared" si="36"/>
        <v>1.393311957174242</v>
      </c>
      <c r="K86" s="42">
        <f t="shared" si="36"/>
        <v>1.685721101633406</v>
      </c>
    </row>
    <row r="87" spans="1:11" ht="12.75">
      <c r="A87" s="36" t="s">
        <v>39</v>
      </c>
      <c r="B87" s="35"/>
      <c r="C87" s="23"/>
      <c r="D87" s="23"/>
      <c r="E87" s="43">
        <f aca="true" t="shared" si="37" ref="E87:K87">E86/70</f>
        <v>0.022530253311888192</v>
      </c>
      <c r="F87" s="43">
        <f t="shared" si="37"/>
        <v>0.031652071814824025</v>
      </c>
      <c r="G87" s="43">
        <f t="shared" si="37"/>
        <v>0.028584792360182597</v>
      </c>
      <c r="H87" s="43">
        <f t="shared" si="37"/>
        <v>0.021791591768836594</v>
      </c>
      <c r="I87" s="43">
        <f t="shared" si="37"/>
        <v>0.056063682974559687</v>
      </c>
      <c r="J87" s="81">
        <f t="shared" si="37"/>
        <v>0.0199044565310606</v>
      </c>
      <c r="K87" s="43">
        <f t="shared" si="37"/>
        <v>0.024081730023334372</v>
      </c>
    </row>
    <row r="88" spans="2:11" ht="13.5" thickBot="1">
      <c r="B88" s="37"/>
      <c r="C88" s="38" t="s">
        <v>40</v>
      </c>
      <c r="D88" s="39"/>
      <c r="E88" s="44">
        <f aca="true" t="shared" si="38" ref="E88:K88">4.075/E87</f>
        <v>180.86791762122832</v>
      </c>
      <c r="F88" s="44">
        <f t="shared" si="38"/>
        <v>128.74354714725192</v>
      </c>
      <c r="G88" s="44">
        <f t="shared" si="38"/>
        <v>142.5583208250378</v>
      </c>
      <c r="H88" s="44">
        <f t="shared" si="38"/>
        <v>186.99873066764758</v>
      </c>
      <c r="I88" s="44">
        <f t="shared" si="38"/>
        <v>72.68519982622502</v>
      </c>
      <c r="J88" s="169">
        <f t="shared" si="38"/>
        <v>204.72802126704767</v>
      </c>
      <c r="K88" s="44">
        <f t="shared" si="38"/>
        <v>169.21541749913584</v>
      </c>
    </row>
  </sheetData>
  <sheetProtection/>
  <mergeCells count="2">
    <mergeCell ref="B86:D86"/>
    <mergeCell ref="B58:D58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55">
      <selection activeCell="A1" sqref="A1"/>
    </sheetView>
  </sheetViews>
  <sheetFormatPr defaultColWidth="9.140625" defaultRowHeight="12.75"/>
  <cols>
    <col min="1" max="2" width="9.28125" style="0" bestFit="1" customWidth="1"/>
    <col min="3" max="3" width="13.7109375" style="0" customWidth="1"/>
    <col min="4" max="4" width="14.8515625" style="0" customWidth="1"/>
    <col min="5" max="5" width="15.57421875" style="198" customWidth="1"/>
    <col min="6" max="6" width="10.57421875" style="198" customWidth="1"/>
    <col min="7" max="7" width="10.8515625" style="198" customWidth="1"/>
    <col min="8" max="8" width="10.00390625" style="198" customWidth="1"/>
    <col min="9" max="12" width="9.421875" style="198" bestFit="1" customWidth="1"/>
    <col min="13" max="13" width="9.8515625" style="203" bestFit="1" customWidth="1"/>
    <col min="14" max="14" width="10.28125" style="203" customWidth="1"/>
    <col min="15" max="15" width="10.28125" style="198" customWidth="1"/>
    <col min="16" max="16" width="11.00390625" style="198" customWidth="1"/>
  </cols>
  <sheetData>
    <row r="1" spans="1:9" ht="12.75">
      <c r="A1" s="1" t="s">
        <v>100</v>
      </c>
      <c r="B1" s="1"/>
      <c r="C1" s="1"/>
      <c r="D1" s="2"/>
      <c r="E1" s="197"/>
      <c r="F1" s="197"/>
      <c r="G1" s="197"/>
      <c r="H1" s="197"/>
      <c r="I1" s="197"/>
    </row>
    <row r="2" spans="1:9" ht="12.75">
      <c r="A2" s="1" t="s">
        <v>33</v>
      </c>
      <c r="B2" s="1"/>
      <c r="C2" s="1"/>
      <c r="D2" s="2"/>
      <c r="E2" s="197"/>
      <c r="F2" s="197"/>
      <c r="G2" s="197"/>
      <c r="H2" s="197"/>
      <c r="I2" s="197"/>
    </row>
    <row r="3" spans="2:4" ht="12.75">
      <c r="B3" s="75" t="s">
        <v>1</v>
      </c>
      <c r="C3" s="15" t="s">
        <v>2</v>
      </c>
      <c r="D3" s="76" t="s">
        <v>3</v>
      </c>
    </row>
    <row r="4" ht="12.75"/>
    <row r="5" spans="1:16" s="25" customFormat="1" ht="12.75">
      <c r="A5" s="32"/>
      <c r="B5" s="33" t="s">
        <v>53</v>
      </c>
      <c r="C5" s="32"/>
      <c r="D5" s="32"/>
      <c r="E5" s="199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2:16" s="25" customFormat="1" ht="12.75">
      <c r="B6" s="74" t="s">
        <v>4</v>
      </c>
      <c r="E6" s="200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2.75">
      <c r="A7" t="s">
        <v>6</v>
      </c>
      <c r="B7" t="s">
        <v>5</v>
      </c>
      <c r="E7" s="120">
        <v>0.34</v>
      </c>
      <c r="F7" s="120">
        <v>0.59</v>
      </c>
      <c r="G7" s="120">
        <v>0.42</v>
      </c>
      <c r="H7" s="120">
        <v>1.95</v>
      </c>
      <c r="I7" s="120">
        <v>6.9</v>
      </c>
      <c r="J7" s="120">
        <v>5.59</v>
      </c>
      <c r="K7" s="120">
        <v>0.77</v>
      </c>
      <c r="L7" s="120">
        <v>9.7</v>
      </c>
      <c r="M7" s="272">
        <v>0.06</v>
      </c>
      <c r="N7" s="272">
        <v>0.83</v>
      </c>
      <c r="O7" s="120">
        <v>2.6</v>
      </c>
      <c r="P7" s="272">
        <v>0.22</v>
      </c>
    </row>
    <row r="8" spans="5:16" ht="12.75">
      <c r="E8" s="246"/>
      <c r="F8" s="247"/>
      <c r="G8" s="247"/>
      <c r="H8" s="247"/>
      <c r="I8" s="247"/>
      <c r="J8" s="247"/>
      <c r="K8" s="247"/>
      <c r="L8" s="247"/>
      <c r="M8" s="275"/>
      <c r="N8" s="275"/>
      <c r="O8" s="247"/>
      <c r="P8" s="247"/>
    </row>
    <row r="9" spans="1:16" ht="12.75">
      <c r="A9" t="s">
        <v>8</v>
      </c>
      <c r="B9" t="s">
        <v>7</v>
      </c>
      <c r="E9" s="246">
        <f>E7*10</f>
        <v>3.4000000000000004</v>
      </c>
      <c r="F9" s="246">
        <f>F7*10</f>
        <v>5.8999999999999995</v>
      </c>
      <c r="G9" s="246">
        <f>G7*10</f>
        <v>4.2</v>
      </c>
      <c r="H9" s="246">
        <f aca="true" t="shared" si="0" ref="H9:N9">H7*10</f>
        <v>19.5</v>
      </c>
      <c r="I9" s="246">
        <f t="shared" si="0"/>
        <v>69</v>
      </c>
      <c r="J9" s="246">
        <f t="shared" si="0"/>
        <v>55.9</v>
      </c>
      <c r="K9" s="246">
        <f t="shared" si="0"/>
        <v>7.7</v>
      </c>
      <c r="L9" s="246">
        <f t="shared" si="0"/>
        <v>97</v>
      </c>
      <c r="M9" s="276">
        <f t="shared" si="0"/>
        <v>0.6</v>
      </c>
      <c r="N9" s="276">
        <f t="shared" si="0"/>
        <v>8.299999999999999</v>
      </c>
      <c r="O9" s="246">
        <f>O7*10</f>
        <v>26</v>
      </c>
      <c r="P9" s="276">
        <f>P7*10</f>
        <v>2.2</v>
      </c>
    </row>
    <row r="10" spans="1:16" ht="12.75">
      <c r="A10" t="s">
        <v>9</v>
      </c>
      <c r="C10" t="s">
        <v>96</v>
      </c>
      <c r="D10" s="9"/>
      <c r="E10" s="246">
        <f aca="true" t="shared" si="1" ref="E10:P10">0.48*E9</f>
        <v>1.6320000000000001</v>
      </c>
      <c r="F10" s="246">
        <f t="shared" si="1"/>
        <v>2.832</v>
      </c>
      <c r="G10" s="246">
        <f t="shared" si="1"/>
        <v>2.016</v>
      </c>
      <c r="H10" s="246">
        <f t="shared" si="1"/>
        <v>9.36</v>
      </c>
      <c r="I10" s="246">
        <f t="shared" si="1"/>
        <v>33.12</v>
      </c>
      <c r="J10" s="246">
        <f t="shared" si="1"/>
        <v>26.831999999999997</v>
      </c>
      <c r="K10" s="246">
        <f t="shared" si="1"/>
        <v>3.6959999999999997</v>
      </c>
      <c r="L10" s="246">
        <f t="shared" si="1"/>
        <v>46.559999999999995</v>
      </c>
      <c r="M10" s="246">
        <f t="shared" si="1"/>
        <v>0.288</v>
      </c>
      <c r="N10" s="246">
        <f t="shared" si="1"/>
        <v>3.9839999999999995</v>
      </c>
      <c r="O10" s="246">
        <f t="shared" si="1"/>
        <v>12.48</v>
      </c>
      <c r="P10" s="246">
        <f t="shared" si="1"/>
        <v>1.056</v>
      </c>
    </row>
    <row r="11" spans="1:16" ht="12.75">
      <c r="A11" t="s">
        <v>9</v>
      </c>
      <c r="C11" t="s">
        <v>97</v>
      </c>
      <c r="D11" s="9"/>
      <c r="E11" s="246">
        <f aca="true" t="shared" si="2" ref="E11:P11">0.36*E9</f>
        <v>1.224</v>
      </c>
      <c r="F11" s="246">
        <f t="shared" si="2"/>
        <v>2.1239999999999997</v>
      </c>
      <c r="G11" s="246">
        <f t="shared" si="2"/>
        <v>1.512</v>
      </c>
      <c r="H11" s="246">
        <f t="shared" si="2"/>
        <v>7.02</v>
      </c>
      <c r="I11" s="246">
        <f t="shared" si="2"/>
        <v>24.84</v>
      </c>
      <c r="J11" s="246">
        <f t="shared" si="2"/>
        <v>20.124</v>
      </c>
      <c r="K11" s="246">
        <f t="shared" si="2"/>
        <v>2.772</v>
      </c>
      <c r="L11" s="246">
        <f t="shared" si="2"/>
        <v>34.92</v>
      </c>
      <c r="M11" s="246">
        <f t="shared" si="2"/>
        <v>0.216</v>
      </c>
      <c r="N11" s="246">
        <f t="shared" si="2"/>
        <v>2.9879999999999995</v>
      </c>
      <c r="O11" s="246">
        <f t="shared" si="2"/>
        <v>9.36</v>
      </c>
      <c r="P11" s="246">
        <f t="shared" si="2"/>
        <v>0.792</v>
      </c>
    </row>
    <row r="12" spans="1:16" ht="12.75">
      <c r="A12" t="s">
        <v>9</v>
      </c>
      <c r="C12" t="s">
        <v>98</v>
      </c>
      <c r="D12" s="9"/>
      <c r="E12" s="246">
        <f aca="true" t="shared" si="3" ref="E12:P12">0.16*E9</f>
        <v>0.544</v>
      </c>
      <c r="F12" s="246">
        <f t="shared" si="3"/>
        <v>0.944</v>
      </c>
      <c r="G12" s="246">
        <f t="shared" si="3"/>
        <v>0.672</v>
      </c>
      <c r="H12" s="246">
        <f t="shared" si="3"/>
        <v>3.12</v>
      </c>
      <c r="I12" s="246">
        <f t="shared" si="3"/>
        <v>11.040000000000001</v>
      </c>
      <c r="J12" s="246">
        <f t="shared" si="3"/>
        <v>8.944</v>
      </c>
      <c r="K12" s="246">
        <f t="shared" si="3"/>
        <v>1.232</v>
      </c>
      <c r="L12" s="246">
        <f t="shared" si="3"/>
        <v>15.52</v>
      </c>
      <c r="M12" s="246">
        <f t="shared" si="3"/>
        <v>0.096</v>
      </c>
      <c r="N12" s="246">
        <f t="shared" si="3"/>
        <v>1.3279999999999998</v>
      </c>
      <c r="O12" s="246">
        <f t="shared" si="3"/>
        <v>4.16</v>
      </c>
      <c r="P12" s="246">
        <f t="shared" si="3"/>
        <v>0.35200000000000004</v>
      </c>
    </row>
    <row r="13" spans="5:16" ht="12.75">
      <c r="E13" s="86"/>
      <c r="F13" s="86"/>
      <c r="G13" s="86"/>
      <c r="H13" s="86"/>
      <c r="I13" s="86"/>
      <c r="J13" s="86"/>
      <c r="K13" s="86"/>
      <c r="L13" s="86"/>
      <c r="M13" s="277"/>
      <c r="N13" s="277"/>
      <c r="O13" s="86"/>
      <c r="P13" s="247"/>
    </row>
    <row r="14" spans="1:16" ht="12.75">
      <c r="A14" t="s">
        <v>9</v>
      </c>
      <c r="B14" t="s">
        <v>10</v>
      </c>
      <c r="E14" s="105">
        <f aca="true" t="shared" si="4" ref="E14:P14">0.997*E10+0.942*E11+0.797*E12</f>
        <v>3.21368</v>
      </c>
      <c r="F14" s="105">
        <f t="shared" si="4"/>
        <v>5.576679999999999</v>
      </c>
      <c r="G14" s="105">
        <f t="shared" si="4"/>
        <v>3.9698400000000005</v>
      </c>
      <c r="H14" s="105">
        <f t="shared" si="4"/>
        <v>18.4314</v>
      </c>
      <c r="I14" s="105">
        <f t="shared" si="4"/>
        <v>65.2188</v>
      </c>
      <c r="J14" s="105">
        <f t="shared" si="4"/>
        <v>52.836679999999994</v>
      </c>
      <c r="K14" s="105">
        <f t="shared" si="4"/>
        <v>7.278039999999999</v>
      </c>
      <c r="L14" s="105">
        <f t="shared" si="4"/>
        <v>91.6844</v>
      </c>
      <c r="M14" s="278">
        <f t="shared" si="4"/>
        <v>0.56712</v>
      </c>
      <c r="N14" s="278">
        <f t="shared" si="4"/>
        <v>7.845159999999999</v>
      </c>
      <c r="O14" s="105">
        <f t="shared" si="4"/>
        <v>24.5752</v>
      </c>
      <c r="P14" s="278">
        <f t="shared" si="4"/>
        <v>2.07944</v>
      </c>
    </row>
    <row r="15" spans="1:16" ht="12.75">
      <c r="A15" t="s">
        <v>9</v>
      </c>
      <c r="B15" t="s">
        <v>11</v>
      </c>
      <c r="E15" s="248">
        <f aca="true" t="shared" si="5" ref="E15:P15">0.002*E10+0.018*E11+0.033*E12</f>
        <v>0.043248</v>
      </c>
      <c r="F15" s="248">
        <f t="shared" si="5"/>
        <v>0.07504799999999999</v>
      </c>
      <c r="G15" s="248">
        <f t="shared" si="5"/>
        <v>0.053424</v>
      </c>
      <c r="H15" s="248">
        <f t="shared" si="5"/>
        <v>0.24803999999999998</v>
      </c>
      <c r="I15" s="248">
        <f t="shared" si="5"/>
        <v>0.87768</v>
      </c>
      <c r="J15" s="248">
        <f t="shared" si="5"/>
        <v>0.7110479999999999</v>
      </c>
      <c r="K15" s="248">
        <f t="shared" si="5"/>
        <v>0.097944</v>
      </c>
      <c r="L15" s="248">
        <f t="shared" si="5"/>
        <v>1.23384</v>
      </c>
      <c r="M15" s="279">
        <f t="shared" si="5"/>
        <v>0.007632</v>
      </c>
      <c r="N15" s="279">
        <f t="shared" si="5"/>
        <v>0.10557599999999998</v>
      </c>
      <c r="O15" s="248">
        <f t="shared" si="5"/>
        <v>0.33072</v>
      </c>
      <c r="P15" s="279">
        <f t="shared" si="5"/>
        <v>0.027984000000000002</v>
      </c>
    </row>
    <row r="16" spans="1:16" ht="12.75">
      <c r="A16" t="s">
        <v>9</v>
      </c>
      <c r="B16" t="s">
        <v>34</v>
      </c>
      <c r="E16" s="105">
        <f aca="true" t="shared" si="6" ref="E16:P16">0.0002*E10+0.028*E11+0.077*E12</f>
        <v>0.0764864</v>
      </c>
      <c r="F16" s="105">
        <f t="shared" si="6"/>
        <v>0.13272639999999997</v>
      </c>
      <c r="G16" s="105">
        <f t="shared" si="6"/>
        <v>0.0944832</v>
      </c>
      <c r="H16" s="105">
        <f t="shared" si="6"/>
        <v>0.438672</v>
      </c>
      <c r="I16" s="105">
        <f t="shared" si="6"/>
        <v>1.552224</v>
      </c>
      <c r="J16" s="105">
        <f t="shared" si="6"/>
        <v>1.2575264000000002</v>
      </c>
      <c r="K16" s="105">
        <f t="shared" si="6"/>
        <v>0.1732192</v>
      </c>
      <c r="L16" s="105">
        <f t="shared" si="6"/>
        <v>2.182112</v>
      </c>
      <c r="M16" s="278">
        <f t="shared" si="6"/>
        <v>0.0134976</v>
      </c>
      <c r="N16" s="278">
        <f t="shared" si="6"/>
        <v>0.18671679999999996</v>
      </c>
      <c r="O16" s="105">
        <f t="shared" si="6"/>
        <v>0.584896</v>
      </c>
      <c r="P16" s="278">
        <f t="shared" si="6"/>
        <v>0.049491200000000006</v>
      </c>
    </row>
    <row r="17" spans="5:16" ht="12.75">
      <c r="E17" s="105"/>
      <c r="F17" s="105"/>
      <c r="G17" s="105"/>
      <c r="H17" s="105"/>
      <c r="I17" s="105"/>
      <c r="J17" s="105"/>
      <c r="K17" s="105"/>
      <c r="L17" s="105"/>
      <c r="M17" s="278"/>
      <c r="N17" s="278"/>
      <c r="O17" s="105"/>
      <c r="P17" s="278"/>
    </row>
    <row r="18" spans="1:16" ht="12.75">
      <c r="A18" t="s">
        <v>8</v>
      </c>
      <c r="B18" t="s">
        <v>12</v>
      </c>
      <c r="E18" s="249">
        <f aca="true" t="shared" si="7" ref="E18:P18">E14+E15</f>
        <v>3.2569280000000003</v>
      </c>
      <c r="F18" s="249">
        <f t="shared" si="7"/>
        <v>5.6517279999999985</v>
      </c>
      <c r="G18" s="249">
        <f t="shared" si="7"/>
        <v>4.023264</v>
      </c>
      <c r="H18" s="249">
        <f t="shared" si="7"/>
        <v>18.67944</v>
      </c>
      <c r="I18" s="249">
        <f t="shared" si="7"/>
        <v>66.09648</v>
      </c>
      <c r="J18" s="249">
        <f t="shared" si="7"/>
        <v>53.54772799999999</v>
      </c>
      <c r="K18" s="249">
        <f t="shared" si="7"/>
        <v>7.375983999999999</v>
      </c>
      <c r="L18" s="249">
        <f t="shared" si="7"/>
        <v>92.91824</v>
      </c>
      <c r="M18" s="280">
        <f t="shared" si="7"/>
        <v>0.5747519999999999</v>
      </c>
      <c r="N18" s="280">
        <f t="shared" si="7"/>
        <v>7.950735999999999</v>
      </c>
      <c r="O18" s="249">
        <f t="shared" si="7"/>
        <v>24.90592</v>
      </c>
      <c r="P18" s="280">
        <f t="shared" si="7"/>
        <v>2.107424</v>
      </c>
    </row>
    <row r="19" spans="1:16" ht="12.75">
      <c r="A19" t="s">
        <v>8</v>
      </c>
      <c r="B19" t="s">
        <v>13</v>
      </c>
      <c r="E19" s="250">
        <f aca="true" t="shared" si="8" ref="E19:P19">E16</f>
        <v>0.0764864</v>
      </c>
      <c r="F19" s="250">
        <f t="shared" si="8"/>
        <v>0.13272639999999997</v>
      </c>
      <c r="G19" s="250">
        <f t="shared" si="8"/>
        <v>0.0944832</v>
      </c>
      <c r="H19" s="250">
        <f t="shared" si="8"/>
        <v>0.438672</v>
      </c>
      <c r="I19" s="250">
        <f t="shared" si="8"/>
        <v>1.552224</v>
      </c>
      <c r="J19" s="250">
        <f t="shared" si="8"/>
        <v>1.2575264000000002</v>
      </c>
      <c r="K19" s="250">
        <f t="shared" si="8"/>
        <v>0.1732192</v>
      </c>
      <c r="L19" s="250">
        <f t="shared" si="8"/>
        <v>2.182112</v>
      </c>
      <c r="M19" s="281">
        <f t="shared" si="8"/>
        <v>0.0134976</v>
      </c>
      <c r="N19" s="281">
        <f t="shared" si="8"/>
        <v>0.18671679999999996</v>
      </c>
      <c r="O19" s="250">
        <f t="shared" si="8"/>
        <v>0.584896</v>
      </c>
      <c r="P19" s="281">
        <f t="shared" si="8"/>
        <v>0.049491200000000006</v>
      </c>
    </row>
    <row r="20" spans="5:16" ht="12.75">
      <c r="E20" s="247"/>
      <c r="F20" s="247"/>
      <c r="G20" s="247"/>
      <c r="H20" s="247"/>
      <c r="I20" s="247"/>
      <c r="J20" s="247"/>
      <c r="K20" s="247"/>
      <c r="L20" s="247"/>
      <c r="M20" s="275"/>
      <c r="N20" s="275"/>
      <c r="O20" s="247"/>
      <c r="P20" s="275"/>
    </row>
    <row r="21" spans="2:16" ht="12.75" hidden="1">
      <c r="B21" s="14" t="s">
        <v>14</v>
      </c>
      <c r="E21" s="86"/>
      <c r="F21" s="86"/>
      <c r="G21" s="86"/>
      <c r="H21" s="86"/>
      <c r="I21" s="86"/>
      <c r="J21" s="86"/>
      <c r="K21" s="86"/>
      <c r="L21" s="86"/>
      <c r="M21" s="277"/>
      <c r="N21" s="277"/>
      <c r="O21" s="86"/>
      <c r="P21" s="277"/>
    </row>
    <row r="22" spans="2:16" ht="12.75" hidden="1">
      <c r="B22" t="s">
        <v>15</v>
      </c>
      <c r="E22" s="86"/>
      <c r="F22" s="86"/>
      <c r="G22" s="86"/>
      <c r="H22" s="86"/>
      <c r="I22" s="86"/>
      <c r="J22" s="86"/>
      <c r="K22" s="86"/>
      <c r="L22" s="86"/>
      <c r="M22" s="277"/>
      <c r="N22" s="277"/>
      <c r="O22" s="86"/>
      <c r="P22" s="277"/>
    </row>
    <row r="23" spans="5:16" ht="12.75" hidden="1">
      <c r="E23" s="86"/>
      <c r="F23" s="86"/>
      <c r="G23" s="86"/>
      <c r="H23" s="86"/>
      <c r="I23" s="86"/>
      <c r="J23" s="86"/>
      <c r="K23" s="86"/>
      <c r="L23" s="86"/>
      <c r="M23" s="277"/>
      <c r="N23" s="277"/>
      <c r="O23" s="86"/>
      <c r="P23" s="277"/>
    </row>
    <row r="24" spans="2:16" ht="12.75" hidden="1">
      <c r="B24" s="14" t="s">
        <v>16</v>
      </c>
      <c r="E24" s="86"/>
      <c r="F24" s="86"/>
      <c r="G24" s="86"/>
      <c r="H24" s="86"/>
      <c r="I24" s="86"/>
      <c r="J24" s="86"/>
      <c r="K24" s="86"/>
      <c r="L24" s="86"/>
      <c r="M24" s="277"/>
      <c r="N24" s="277"/>
      <c r="O24" s="86"/>
      <c r="P24" s="277"/>
    </row>
    <row r="25" spans="2:16" ht="12.75" hidden="1">
      <c r="B25" t="s">
        <v>17</v>
      </c>
      <c r="E25" s="86">
        <v>2.25</v>
      </c>
      <c r="F25" s="86">
        <v>2.25</v>
      </c>
      <c r="G25" s="86">
        <v>2.25</v>
      </c>
      <c r="H25" s="86">
        <v>2.25</v>
      </c>
      <c r="I25" s="86">
        <v>2.25</v>
      </c>
      <c r="J25" s="86">
        <v>2.25</v>
      </c>
      <c r="K25" s="86">
        <v>2.25</v>
      </c>
      <c r="L25" s="86">
        <v>2.25</v>
      </c>
      <c r="M25" s="277">
        <v>2.25</v>
      </c>
      <c r="N25" s="277">
        <v>2.25</v>
      </c>
      <c r="O25" s="86">
        <v>2.25</v>
      </c>
      <c r="P25" s="277">
        <v>2.25</v>
      </c>
    </row>
    <row r="26" spans="2:16" ht="12.75" hidden="1">
      <c r="B26" t="s">
        <v>7</v>
      </c>
      <c r="E26" s="86">
        <v>0.001</v>
      </c>
      <c r="F26" s="86">
        <v>0.001</v>
      </c>
      <c r="G26" s="86">
        <v>0.001</v>
      </c>
      <c r="H26" s="86">
        <v>0.001</v>
      </c>
      <c r="I26" s="86">
        <v>0.001</v>
      </c>
      <c r="J26" s="86">
        <v>0.001</v>
      </c>
      <c r="K26" s="86">
        <v>0.001</v>
      </c>
      <c r="L26" s="86">
        <v>0.001</v>
      </c>
      <c r="M26" s="277">
        <v>0.001</v>
      </c>
      <c r="N26" s="277">
        <v>0.001</v>
      </c>
      <c r="O26" s="86">
        <v>0.001</v>
      </c>
      <c r="P26" s="277">
        <v>0.001</v>
      </c>
    </row>
    <row r="27" spans="5:16" ht="12.75" hidden="1">
      <c r="E27" s="86"/>
      <c r="F27" s="86"/>
      <c r="G27" s="86"/>
      <c r="H27" s="86"/>
      <c r="I27" s="86"/>
      <c r="J27" s="86"/>
      <c r="K27" s="86"/>
      <c r="L27" s="86"/>
      <c r="M27" s="277"/>
      <c r="N27" s="277"/>
      <c r="O27" s="86"/>
      <c r="P27" s="277"/>
    </row>
    <row r="28" spans="5:16" ht="12.75" hidden="1">
      <c r="E28" s="86"/>
      <c r="F28" s="86"/>
      <c r="G28" s="86"/>
      <c r="H28" s="86"/>
      <c r="I28" s="86"/>
      <c r="J28" s="86"/>
      <c r="K28" s="86"/>
      <c r="L28" s="86"/>
      <c r="M28" s="277"/>
      <c r="N28" s="277"/>
      <c r="O28" s="86"/>
      <c r="P28" s="277"/>
    </row>
    <row r="29" spans="5:16" ht="12.75" hidden="1">
      <c r="E29" s="86"/>
      <c r="F29" s="86"/>
      <c r="G29" s="86"/>
      <c r="H29" s="86"/>
      <c r="I29" s="86"/>
      <c r="J29" s="86"/>
      <c r="K29" s="86"/>
      <c r="L29" s="86"/>
      <c r="M29" s="277"/>
      <c r="N29" s="277"/>
      <c r="O29" s="86"/>
      <c r="P29" s="277"/>
    </row>
    <row r="30" spans="2:16" ht="12.75" hidden="1">
      <c r="B30" t="s">
        <v>18</v>
      </c>
      <c r="E30" s="251">
        <f aca="true" t="shared" si="9" ref="E30:P30">E19+H26</f>
        <v>0.0774864</v>
      </c>
      <c r="F30" s="251">
        <f t="shared" si="9"/>
        <v>0.13372639999999997</v>
      </c>
      <c r="G30" s="251">
        <f t="shared" si="9"/>
        <v>0.0954832</v>
      </c>
      <c r="H30" s="251">
        <f t="shared" si="9"/>
        <v>0.439672</v>
      </c>
      <c r="I30" s="251">
        <f t="shared" si="9"/>
        <v>1.553224</v>
      </c>
      <c r="J30" s="251">
        <f t="shared" si="9"/>
        <v>1.2585264</v>
      </c>
      <c r="K30" s="251">
        <f t="shared" si="9"/>
        <v>0.1742192</v>
      </c>
      <c r="L30" s="251">
        <f t="shared" si="9"/>
        <v>2.183112</v>
      </c>
      <c r="M30" s="282">
        <f t="shared" si="9"/>
        <v>0.0144976</v>
      </c>
      <c r="N30" s="282">
        <f t="shared" si="9"/>
        <v>0.18671679999999996</v>
      </c>
      <c r="O30" s="251">
        <f t="shared" si="9"/>
        <v>0.584896</v>
      </c>
      <c r="P30" s="282">
        <f t="shared" si="9"/>
        <v>0.049491200000000006</v>
      </c>
    </row>
    <row r="31" spans="2:16" ht="12.75" hidden="1">
      <c r="B31" t="s">
        <v>19</v>
      </c>
      <c r="E31" s="252">
        <f aca="true" t="shared" si="10" ref="E31:P31">E18+H25</f>
        <v>5.506928</v>
      </c>
      <c r="F31" s="252">
        <f t="shared" si="10"/>
        <v>7.9017279999999985</v>
      </c>
      <c r="G31" s="252">
        <f t="shared" si="10"/>
        <v>6.273264</v>
      </c>
      <c r="H31" s="252">
        <f t="shared" si="10"/>
        <v>20.92944</v>
      </c>
      <c r="I31" s="252">
        <f t="shared" si="10"/>
        <v>68.34648</v>
      </c>
      <c r="J31" s="252">
        <f t="shared" si="10"/>
        <v>55.79772799999999</v>
      </c>
      <c r="K31" s="252">
        <f t="shared" si="10"/>
        <v>9.625983999999999</v>
      </c>
      <c r="L31" s="252">
        <f t="shared" si="10"/>
        <v>95.16824</v>
      </c>
      <c r="M31" s="283">
        <f t="shared" si="10"/>
        <v>2.824752</v>
      </c>
      <c r="N31" s="283">
        <f t="shared" si="10"/>
        <v>7.950735999999999</v>
      </c>
      <c r="O31" s="252">
        <f t="shared" si="10"/>
        <v>24.90592</v>
      </c>
      <c r="P31" s="283">
        <f t="shared" si="10"/>
        <v>2.107424</v>
      </c>
    </row>
    <row r="32" spans="2:16" ht="12.75" hidden="1">
      <c r="B32" t="s">
        <v>20</v>
      </c>
      <c r="E32" s="253">
        <f aca="true" t="shared" si="11" ref="E32:P32">H22</f>
        <v>0</v>
      </c>
      <c r="F32" s="253">
        <f t="shared" si="11"/>
        <v>0</v>
      </c>
      <c r="G32" s="253">
        <f t="shared" si="11"/>
        <v>0</v>
      </c>
      <c r="H32" s="253">
        <f t="shared" si="11"/>
        <v>0</v>
      </c>
      <c r="I32" s="253">
        <f t="shared" si="11"/>
        <v>0</v>
      </c>
      <c r="J32" s="253">
        <f t="shared" si="11"/>
        <v>0</v>
      </c>
      <c r="K32" s="253">
        <f t="shared" si="11"/>
        <v>0</v>
      </c>
      <c r="L32" s="253">
        <f t="shared" si="11"/>
        <v>0</v>
      </c>
      <c r="M32" s="284">
        <f t="shared" si="11"/>
        <v>0</v>
      </c>
      <c r="N32" s="284">
        <f t="shared" si="11"/>
        <v>0</v>
      </c>
      <c r="O32" s="253">
        <f t="shared" si="11"/>
        <v>0</v>
      </c>
      <c r="P32" s="284">
        <f t="shared" si="11"/>
        <v>0</v>
      </c>
    </row>
    <row r="33" spans="5:16" ht="12.75" hidden="1">
      <c r="E33" s="86"/>
      <c r="F33" s="86"/>
      <c r="G33" s="86"/>
      <c r="H33" s="86"/>
      <c r="I33" s="86"/>
      <c r="J33" s="86"/>
      <c r="K33" s="86"/>
      <c r="L33" s="86"/>
      <c r="M33" s="277"/>
      <c r="N33" s="277"/>
      <c r="O33" s="86"/>
      <c r="P33" s="277"/>
    </row>
    <row r="34" spans="5:16" ht="12.75" hidden="1">
      <c r="E34" s="86"/>
      <c r="F34" s="86"/>
      <c r="G34" s="86"/>
      <c r="H34" s="86"/>
      <c r="I34" s="86"/>
      <c r="J34" s="86"/>
      <c r="K34" s="86"/>
      <c r="L34" s="86"/>
      <c r="M34" s="277"/>
      <c r="N34" s="277"/>
      <c r="O34" s="86"/>
      <c r="P34" s="277"/>
    </row>
    <row r="35" spans="5:16" ht="12.75" hidden="1">
      <c r="E35" s="247"/>
      <c r="F35" s="247"/>
      <c r="G35" s="247"/>
      <c r="H35" s="247"/>
      <c r="I35" s="247"/>
      <c r="J35" s="247"/>
      <c r="K35" s="247"/>
      <c r="L35" s="247"/>
      <c r="M35" s="275"/>
      <c r="N35" s="275"/>
      <c r="O35" s="247"/>
      <c r="P35" s="275"/>
    </row>
    <row r="36" spans="5:16" ht="12.75" hidden="1">
      <c r="E36" s="247"/>
      <c r="F36" s="247"/>
      <c r="G36" s="247"/>
      <c r="H36" s="247"/>
      <c r="I36" s="247"/>
      <c r="J36" s="247"/>
      <c r="K36" s="247"/>
      <c r="L36" s="247"/>
      <c r="M36" s="275"/>
      <c r="N36" s="275"/>
      <c r="O36" s="247"/>
      <c r="P36" s="275"/>
    </row>
    <row r="37" spans="2:16" ht="12.75" hidden="1">
      <c r="B37" s="14" t="s">
        <v>21</v>
      </c>
      <c r="E37" s="247"/>
      <c r="F37" s="247"/>
      <c r="G37" s="247"/>
      <c r="H37" s="247"/>
      <c r="I37" s="247"/>
      <c r="J37" s="247"/>
      <c r="K37" s="247"/>
      <c r="L37" s="247"/>
      <c r="M37" s="275"/>
      <c r="N37" s="275"/>
      <c r="O37" s="247"/>
      <c r="P37" s="275"/>
    </row>
    <row r="38" spans="2:16" ht="12.75" hidden="1">
      <c r="B38" s="18" t="e">
        <f>63.2-15*LN(#REF!)</f>
        <v>#REF!</v>
      </c>
      <c r="E38" s="247"/>
      <c r="F38" s="247"/>
      <c r="G38" s="247"/>
      <c r="H38" s="247"/>
      <c r="I38" s="247"/>
      <c r="J38" s="247"/>
      <c r="K38" s="247"/>
      <c r="L38" s="247"/>
      <c r="M38" s="275"/>
      <c r="N38" s="275"/>
      <c r="O38" s="247"/>
      <c r="P38" s="275"/>
    </row>
    <row r="39" spans="1:16" ht="12.75" hidden="1">
      <c r="A39" t="e">
        <f>-0.1167*#REF!</f>
        <v>#REF!</v>
      </c>
      <c r="B39" s="18" t="e">
        <f>72.9*EXP(A39)</f>
        <v>#REF!</v>
      </c>
      <c r="E39" s="247"/>
      <c r="F39" s="247"/>
      <c r="G39" s="247"/>
      <c r="H39" s="247"/>
      <c r="I39" s="247"/>
      <c r="J39" s="247"/>
      <c r="K39" s="247"/>
      <c r="L39" s="247"/>
      <c r="M39" s="275"/>
      <c r="N39" s="275"/>
      <c r="O39" s="247"/>
      <c r="P39" s="275"/>
    </row>
    <row r="40" spans="2:16" ht="12.75" hidden="1">
      <c r="B40" s="18" t="e">
        <f>AVERAGE(B38:B39)</f>
        <v>#REF!</v>
      </c>
      <c r="E40" s="247"/>
      <c r="F40" s="247"/>
      <c r="G40" s="247"/>
      <c r="H40" s="247"/>
      <c r="I40" s="247"/>
      <c r="J40" s="247"/>
      <c r="K40" s="247"/>
      <c r="L40" s="247"/>
      <c r="M40" s="275"/>
      <c r="N40" s="275"/>
      <c r="O40" s="247"/>
      <c r="P40" s="275"/>
    </row>
    <row r="41" spans="2:16" ht="12.75">
      <c r="B41" s="18"/>
      <c r="E41" s="254">
        <f aca="true" t="shared" si="12" ref="E41:P41">63.2-15*LN(E18)</f>
        <v>45.488233702744694</v>
      </c>
      <c r="F41" s="254">
        <f t="shared" si="12"/>
        <v>37.22057991340132</v>
      </c>
      <c r="G41" s="254">
        <f t="shared" si="12"/>
        <v>42.31859729773659</v>
      </c>
      <c r="H41" s="254">
        <f t="shared" si="12"/>
        <v>19.28864819353091</v>
      </c>
      <c r="I41" s="254">
        <f t="shared" si="12"/>
        <v>0.33326760811753786</v>
      </c>
      <c r="J41" s="254">
        <f t="shared" si="12"/>
        <v>3.491399474660625</v>
      </c>
      <c r="K41" s="254">
        <f t="shared" si="12"/>
        <v>33.22656024418186</v>
      </c>
      <c r="L41" s="254">
        <f t="shared" si="12"/>
        <v>-4.775799500474307</v>
      </c>
      <c r="M41" s="285">
        <f t="shared" si="12"/>
        <v>71.5072495335663</v>
      </c>
      <c r="N41" s="285">
        <f t="shared" si="12"/>
        <v>32.10103245503815</v>
      </c>
      <c r="O41" s="254">
        <f t="shared" si="12"/>
        <v>14.973417106754198</v>
      </c>
      <c r="P41" s="285">
        <f t="shared" si="12"/>
        <v>52.018004771612375</v>
      </c>
    </row>
    <row r="42" spans="2:16" ht="12.75">
      <c r="B42" s="18"/>
      <c r="E42" s="254">
        <f aca="true" t="shared" si="13" ref="E42:P42">-0.1167*(E18)</f>
        <v>-0.38008349760000004</v>
      </c>
      <c r="F42" s="254">
        <f t="shared" si="13"/>
        <v>-0.6595566575999998</v>
      </c>
      <c r="G42" s="254">
        <f t="shared" si="13"/>
        <v>-0.4695149088</v>
      </c>
      <c r="H42" s="254">
        <f t="shared" si="13"/>
        <v>-2.1798906479999998</v>
      </c>
      <c r="I42" s="254">
        <f t="shared" si="13"/>
        <v>-7.7134592159999995</v>
      </c>
      <c r="J42" s="254">
        <f t="shared" si="13"/>
        <v>-6.249019857599999</v>
      </c>
      <c r="K42" s="254">
        <f t="shared" si="13"/>
        <v>-0.8607773327999999</v>
      </c>
      <c r="L42" s="254">
        <f t="shared" si="13"/>
        <v>-10.843558608</v>
      </c>
      <c r="M42" s="285">
        <f t="shared" si="13"/>
        <v>-0.0670735584</v>
      </c>
      <c r="N42" s="285">
        <f t="shared" si="13"/>
        <v>-0.9278508911999999</v>
      </c>
      <c r="O42" s="254">
        <f t="shared" si="13"/>
        <v>-2.9065208639999995</v>
      </c>
      <c r="P42" s="285">
        <f t="shared" si="13"/>
        <v>-0.2459363808</v>
      </c>
    </row>
    <row r="43" spans="2:16" ht="12.75">
      <c r="B43" s="18"/>
      <c r="E43" s="254">
        <f>72.9*EXP(E42)</f>
        <v>49.84933425803275</v>
      </c>
      <c r="F43" s="254">
        <f aca="true" t="shared" si="14" ref="F43:N43">72.9*EXP(F42)</f>
        <v>37.695170447787326</v>
      </c>
      <c r="G43" s="254">
        <f t="shared" si="14"/>
        <v>45.58477276744393</v>
      </c>
      <c r="H43" s="254">
        <f t="shared" si="14"/>
        <v>8.241628773004058</v>
      </c>
      <c r="I43" s="254">
        <f t="shared" si="14"/>
        <v>0.032569774704598584</v>
      </c>
      <c r="J43" s="254">
        <f t="shared" si="14"/>
        <v>0.14086810969569621</v>
      </c>
      <c r="K43" s="254">
        <f t="shared" si="14"/>
        <v>30.82454555543652</v>
      </c>
      <c r="L43" s="254">
        <f t="shared" si="14"/>
        <v>0.0014237372919738724</v>
      </c>
      <c r="M43" s="285">
        <f t="shared" si="14"/>
        <v>68.17071546425973</v>
      </c>
      <c r="N43" s="285">
        <f t="shared" si="14"/>
        <v>28.82484669924245</v>
      </c>
      <c r="O43" s="254">
        <f>72.9*EXP(O42)</f>
        <v>3.985121395997172</v>
      </c>
      <c r="P43" s="285">
        <f>72.9*EXP(P42)</f>
        <v>57.00575674234646</v>
      </c>
    </row>
    <row r="44" spans="2:16" ht="12.75">
      <c r="B44" s="18"/>
      <c r="C44" s="14" t="s">
        <v>23</v>
      </c>
      <c r="E44" s="255">
        <f>AVERAGE(E41,E43)</f>
        <v>47.668783980388724</v>
      </c>
      <c r="F44" s="255">
        <f aca="true" t="shared" si="15" ref="F44:N44">AVERAGE(F41,F43)</f>
        <v>37.45787518059433</v>
      </c>
      <c r="G44" s="255">
        <f t="shared" si="15"/>
        <v>43.95168503259026</v>
      </c>
      <c r="H44" s="255">
        <v>20</v>
      </c>
      <c r="I44" s="255">
        <v>20</v>
      </c>
      <c r="J44" s="255">
        <v>20</v>
      </c>
      <c r="K44" s="255">
        <f t="shared" si="15"/>
        <v>32.02555289980919</v>
      </c>
      <c r="L44" s="255">
        <v>20</v>
      </c>
      <c r="M44" s="286">
        <f t="shared" si="15"/>
        <v>69.83898249891301</v>
      </c>
      <c r="N44" s="286">
        <f t="shared" si="15"/>
        <v>30.4629395771403</v>
      </c>
      <c r="O44" s="255">
        <v>20</v>
      </c>
      <c r="P44" s="286">
        <f>AVERAGE(P41,P43)</f>
        <v>54.51188075697942</v>
      </c>
    </row>
    <row r="45" spans="5:16" ht="12.75">
      <c r="E45" s="247"/>
      <c r="F45" s="247"/>
      <c r="G45" s="247"/>
      <c r="H45" s="247"/>
      <c r="I45" s="247"/>
      <c r="J45" s="247"/>
      <c r="K45" s="247"/>
      <c r="L45" s="247"/>
      <c r="M45" s="275"/>
      <c r="N45" s="275"/>
      <c r="O45" s="247"/>
      <c r="P45" s="275"/>
    </row>
    <row r="46" spans="2:16" ht="41.25" customHeight="1">
      <c r="B46" s="19" t="s">
        <v>22</v>
      </c>
      <c r="D46" s="19"/>
      <c r="E46" s="247"/>
      <c r="F46" s="273"/>
      <c r="G46" s="273"/>
      <c r="H46" s="273"/>
      <c r="I46" s="273"/>
      <c r="J46" s="273"/>
      <c r="K46" s="273"/>
      <c r="L46" s="273"/>
      <c r="M46" s="287"/>
      <c r="N46" s="287"/>
      <c r="O46" s="273"/>
      <c r="P46" s="287"/>
    </row>
    <row r="47" spans="1:16" ht="12.75">
      <c r="A47" t="s">
        <v>8</v>
      </c>
      <c r="B47" t="s">
        <v>38</v>
      </c>
      <c r="D47" s="20"/>
      <c r="E47" s="250">
        <f aca="true" t="shared" si="16" ref="E47:P47">E19*100/100</f>
        <v>0.0764864</v>
      </c>
      <c r="F47" s="250">
        <f t="shared" si="16"/>
        <v>0.13272639999999997</v>
      </c>
      <c r="G47" s="250">
        <f t="shared" si="16"/>
        <v>0.0944832</v>
      </c>
      <c r="H47" s="250">
        <f t="shared" si="16"/>
        <v>0.43867200000000006</v>
      </c>
      <c r="I47" s="250">
        <f t="shared" si="16"/>
        <v>1.5522239999999998</v>
      </c>
      <c r="J47" s="250">
        <f t="shared" si="16"/>
        <v>1.2575264000000002</v>
      </c>
      <c r="K47" s="250">
        <f t="shared" si="16"/>
        <v>0.1732192</v>
      </c>
      <c r="L47" s="250">
        <f t="shared" si="16"/>
        <v>2.182112</v>
      </c>
      <c r="M47" s="281">
        <f t="shared" si="16"/>
        <v>0.0134976</v>
      </c>
      <c r="N47" s="281">
        <f t="shared" si="16"/>
        <v>0.18671679999999996</v>
      </c>
      <c r="O47" s="250">
        <f t="shared" si="16"/>
        <v>0.584896</v>
      </c>
      <c r="P47" s="281">
        <f t="shared" si="16"/>
        <v>0.049491200000000006</v>
      </c>
    </row>
    <row r="48" spans="1:16" ht="12.75">
      <c r="A48" t="s">
        <v>8</v>
      </c>
      <c r="B48" t="s">
        <v>24</v>
      </c>
      <c r="D48" s="21"/>
      <c r="E48" s="249">
        <f aca="true" t="shared" si="17" ref="E48:P48">E18*E44/100</f>
        <v>1.552537972716795</v>
      </c>
      <c r="F48" s="249">
        <f t="shared" si="17"/>
        <v>2.1170172197866997</v>
      </c>
      <c r="G48" s="249">
        <f t="shared" si="17"/>
        <v>1.7682923213095925</v>
      </c>
      <c r="H48" s="249">
        <f t="shared" si="17"/>
        <v>3.735888</v>
      </c>
      <c r="I48" s="249">
        <f t="shared" si="17"/>
        <v>13.219296</v>
      </c>
      <c r="J48" s="249">
        <f t="shared" si="17"/>
        <v>10.709545599999998</v>
      </c>
      <c r="K48" s="249">
        <f t="shared" si="17"/>
        <v>2.3621996578014617</v>
      </c>
      <c r="L48" s="249">
        <f t="shared" si="17"/>
        <v>18.583647999999997</v>
      </c>
      <c r="M48" s="280">
        <f t="shared" si="17"/>
        <v>0.4014009486921525</v>
      </c>
      <c r="N48" s="280">
        <f t="shared" si="17"/>
        <v>2.4220279036179413</v>
      </c>
      <c r="O48" s="249">
        <f t="shared" si="17"/>
        <v>4.981184</v>
      </c>
      <c r="P48" s="280">
        <f t="shared" si="17"/>
        <v>1.148796457923966</v>
      </c>
    </row>
    <row r="49" spans="2:16" ht="12.75">
      <c r="B49" t="s">
        <v>25</v>
      </c>
      <c r="E49" s="105">
        <f>SUM(E47:E48)</f>
        <v>1.629024372716795</v>
      </c>
      <c r="F49" s="105">
        <f aca="true" t="shared" si="18" ref="F49:N49">SUM(F47:F48)</f>
        <v>2.2497436197867</v>
      </c>
      <c r="G49" s="105">
        <f t="shared" si="18"/>
        <v>1.8627755213095925</v>
      </c>
      <c r="H49" s="105">
        <f t="shared" si="18"/>
        <v>4.1745600000000005</v>
      </c>
      <c r="I49" s="105">
        <f t="shared" si="18"/>
        <v>14.771519999999999</v>
      </c>
      <c r="J49" s="105">
        <f t="shared" si="18"/>
        <v>11.967071999999998</v>
      </c>
      <c r="K49" s="105">
        <f t="shared" si="18"/>
        <v>2.535418857801462</v>
      </c>
      <c r="L49" s="105">
        <f t="shared" si="18"/>
        <v>20.765759999999997</v>
      </c>
      <c r="M49" s="278">
        <f t="shared" si="18"/>
        <v>0.4148985486921525</v>
      </c>
      <c r="N49" s="278">
        <f t="shared" si="18"/>
        <v>2.6087447036179414</v>
      </c>
      <c r="O49" s="105">
        <f>SUM(O47:O48)</f>
        <v>5.5660799999999995</v>
      </c>
      <c r="P49" s="278">
        <f>SUM(P47:P48)</f>
        <v>1.198287657923966</v>
      </c>
    </row>
    <row r="50" spans="1:16" ht="12.75">
      <c r="A50" s="71" t="s">
        <v>52</v>
      </c>
      <c r="E50" s="248">
        <f>E49*(240/365)/70</f>
        <v>0.015301990193817252</v>
      </c>
      <c r="F50" s="248">
        <f aca="true" t="shared" si="19" ref="F50:P50">F49*(240/365)/70</f>
        <v>0.02113262108605902</v>
      </c>
      <c r="G50" s="248">
        <f t="shared" si="19"/>
        <v>0.017497695699189908</v>
      </c>
      <c r="H50" s="248">
        <f t="shared" si="19"/>
        <v>0.03921308806262231</v>
      </c>
      <c r="I50" s="248">
        <f t="shared" si="19"/>
        <v>0.1387540039138943</v>
      </c>
      <c r="J50" s="248">
        <f t="shared" si="19"/>
        <v>0.11241085244618393</v>
      </c>
      <c r="K50" s="248">
        <f t="shared" si="19"/>
        <v>0.023816067548819993</v>
      </c>
      <c r="L50" s="248">
        <f t="shared" si="19"/>
        <v>0.195059976516634</v>
      </c>
      <c r="M50" s="279">
        <f t="shared" si="19"/>
        <v>0.0038972857802785357</v>
      </c>
      <c r="N50" s="279">
        <f t="shared" si="19"/>
        <v>0.02450484261715483</v>
      </c>
      <c r="O50" s="248">
        <f t="shared" si="19"/>
        <v>0.052284117416829735</v>
      </c>
      <c r="P50" s="279">
        <f t="shared" si="19"/>
        <v>0.011255931033336667</v>
      </c>
    </row>
    <row r="51" spans="5:16" ht="12.75">
      <c r="E51" s="247"/>
      <c r="F51" s="247"/>
      <c r="G51" s="247"/>
      <c r="H51" s="247"/>
      <c r="I51" s="247"/>
      <c r="J51" s="247"/>
      <c r="K51" s="247"/>
      <c r="L51" s="247"/>
      <c r="M51" s="275"/>
      <c r="N51" s="275"/>
      <c r="O51" s="247"/>
      <c r="P51" s="275"/>
    </row>
    <row r="52" spans="2:16" ht="12.75">
      <c r="B52" s="6" t="s">
        <v>14</v>
      </c>
      <c r="E52" s="247"/>
      <c r="F52" s="247"/>
      <c r="G52" s="247"/>
      <c r="H52" s="247"/>
      <c r="I52" s="247"/>
      <c r="J52" s="247"/>
      <c r="K52" s="247"/>
      <c r="L52" s="247"/>
      <c r="M52" s="275"/>
      <c r="N52" s="275"/>
      <c r="O52" s="247"/>
      <c r="P52" s="275"/>
    </row>
    <row r="53" spans="1:16" ht="12.75">
      <c r="A53" t="s">
        <v>8</v>
      </c>
      <c r="B53" t="s">
        <v>26</v>
      </c>
      <c r="E53" s="253">
        <v>259</v>
      </c>
      <c r="F53" s="253">
        <v>259</v>
      </c>
      <c r="G53" s="253">
        <v>259</v>
      </c>
      <c r="H53" s="253">
        <v>259</v>
      </c>
      <c r="I53" s="253">
        <v>259</v>
      </c>
      <c r="J53" s="253">
        <v>259</v>
      </c>
      <c r="K53" s="253">
        <v>259</v>
      </c>
      <c r="L53" s="253">
        <v>259</v>
      </c>
      <c r="M53" s="284">
        <v>259</v>
      </c>
      <c r="N53" s="284">
        <v>259</v>
      </c>
      <c r="O53" s="253">
        <v>259</v>
      </c>
      <c r="P53" s="284">
        <v>259</v>
      </c>
    </row>
    <row r="54" spans="1:16" ht="12.75">
      <c r="A54" t="s">
        <v>8</v>
      </c>
      <c r="B54" t="s">
        <v>27</v>
      </c>
      <c r="E54" s="257">
        <f>E53*0.03/100</f>
        <v>0.07769999999999999</v>
      </c>
      <c r="F54" s="257">
        <f aca="true" t="shared" si="20" ref="F54:P54">F53*0.03/100</f>
        <v>0.07769999999999999</v>
      </c>
      <c r="G54" s="257">
        <f t="shared" si="20"/>
        <v>0.07769999999999999</v>
      </c>
      <c r="H54" s="257">
        <f t="shared" si="20"/>
        <v>0.07769999999999999</v>
      </c>
      <c r="I54" s="257">
        <f t="shared" si="20"/>
        <v>0.07769999999999999</v>
      </c>
      <c r="J54" s="257">
        <f t="shared" si="20"/>
        <v>0.07769999999999999</v>
      </c>
      <c r="K54" s="257">
        <f t="shared" si="20"/>
        <v>0.07769999999999999</v>
      </c>
      <c r="L54" s="257">
        <f t="shared" si="20"/>
        <v>0.07769999999999999</v>
      </c>
      <c r="M54" s="288">
        <f t="shared" si="20"/>
        <v>0.07769999999999999</v>
      </c>
      <c r="N54" s="288">
        <f t="shared" si="20"/>
        <v>0.07769999999999999</v>
      </c>
      <c r="O54" s="257">
        <f t="shared" si="20"/>
        <v>0.07769999999999999</v>
      </c>
      <c r="P54" s="288">
        <f t="shared" si="20"/>
        <v>0.07769999999999999</v>
      </c>
    </row>
    <row r="55" spans="1:16" ht="12.75">
      <c r="A55" s="71" t="s">
        <v>52</v>
      </c>
      <c r="E55" s="274">
        <f>E54*(240/365)/70</f>
        <v>0.00072986301369863</v>
      </c>
      <c r="F55" s="274">
        <f aca="true" t="shared" si="21" ref="F55:P55">F54*(240/365)/70</f>
        <v>0.00072986301369863</v>
      </c>
      <c r="G55" s="274">
        <f t="shared" si="21"/>
        <v>0.00072986301369863</v>
      </c>
      <c r="H55" s="274">
        <f t="shared" si="21"/>
        <v>0.00072986301369863</v>
      </c>
      <c r="I55" s="274">
        <f t="shared" si="21"/>
        <v>0.00072986301369863</v>
      </c>
      <c r="J55" s="274">
        <f t="shared" si="21"/>
        <v>0.00072986301369863</v>
      </c>
      <c r="K55" s="274">
        <f t="shared" si="21"/>
        <v>0.00072986301369863</v>
      </c>
      <c r="L55" s="274">
        <f t="shared" si="21"/>
        <v>0.00072986301369863</v>
      </c>
      <c r="M55" s="289">
        <f t="shared" si="21"/>
        <v>0.00072986301369863</v>
      </c>
      <c r="N55" s="289">
        <f t="shared" si="21"/>
        <v>0.00072986301369863</v>
      </c>
      <c r="O55" s="274">
        <f t="shared" si="21"/>
        <v>0.00072986301369863</v>
      </c>
      <c r="P55" s="289">
        <f t="shared" si="21"/>
        <v>0.00072986301369863</v>
      </c>
    </row>
    <row r="56" spans="1:16" ht="12.75">
      <c r="A56" s="71"/>
      <c r="E56" s="259"/>
      <c r="F56" s="259"/>
      <c r="G56" s="259"/>
      <c r="H56" s="259"/>
      <c r="I56" s="259"/>
      <c r="J56" s="259"/>
      <c r="K56" s="259"/>
      <c r="L56" s="259"/>
      <c r="M56" s="290"/>
      <c r="N56" s="290"/>
      <c r="O56" s="259"/>
      <c r="P56" s="290"/>
    </row>
    <row r="57" spans="1:16" ht="13.5" thickBot="1">
      <c r="A57" s="71"/>
      <c r="B57" s="6" t="s">
        <v>54</v>
      </c>
      <c r="E57" s="259"/>
      <c r="F57" s="259"/>
      <c r="G57" s="259"/>
      <c r="H57" s="259"/>
      <c r="I57" s="259"/>
      <c r="J57" s="259"/>
      <c r="K57" s="259"/>
      <c r="L57" s="259"/>
      <c r="M57" s="290"/>
      <c r="N57" s="290"/>
      <c r="O57" s="259"/>
      <c r="P57" s="290"/>
    </row>
    <row r="58" spans="1:16" ht="39.75" customHeight="1">
      <c r="A58" s="185" t="s">
        <v>8</v>
      </c>
      <c r="B58" s="333" t="s">
        <v>28</v>
      </c>
      <c r="C58" s="333"/>
      <c r="D58" s="333"/>
      <c r="E58" s="261">
        <f aca="true" t="shared" si="22" ref="E58:P58">(E47+E48+E54)*240/365</f>
        <v>1.122229724526112</v>
      </c>
      <c r="F58" s="261">
        <f t="shared" si="22"/>
        <v>1.5303738869830357</v>
      </c>
      <c r="G58" s="261">
        <f t="shared" si="22"/>
        <v>1.2759291099021979</v>
      </c>
      <c r="H58" s="261">
        <f t="shared" si="22"/>
        <v>2.7960065753424663</v>
      </c>
      <c r="I58" s="261">
        <f t="shared" si="22"/>
        <v>9.763870684931506</v>
      </c>
      <c r="J58" s="261">
        <f t="shared" si="22"/>
        <v>7.91985008219178</v>
      </c>
      <c r="K58" s="261">
        <f t="shared" si="22"/>
        <v>1.7182151393763039</v>
      </c>
      <c r="L58" s="261">
        <f t="shared" si="22"/>
        <v>13.705288767123285</v>
      </c>
      <c r="M58" s="291">
        <f t="shared" si="22"/>
        <v>0.32390041557840166</v>
      </c>
      <c r="N58" s="291">
        <f t="shared" si="22"/>
        <v>1.7664293941597422</v>
      </c>
      <c r="O58" s="261">
        <f t="shared" si="22"/>
        <v>3.7109786301369865</v>
      </c>
      <c r="P58" s="292">
        <f t="shared" si="22"/>
        <v>0.8390055832924709</v>
      </c>
    </row>
    <row r="59" spans="1:16" ht="12.75">
      <c r="A59" s="178" t="s">
        <v>39</v>
      </c>
      <c r="B59" s="23"/>
      <c r="C59" s="23"/>
      <c r="D59" s="23"/>
      <c r="E59" s="262">
        <f>E58/70</f>
        <v>0.016031853207515885</v>
      </c>
      <c r="F59" s="262">
        <f aca="true" t="shared" si="23" ref="F59:N59">F58/70</f>
        <v>0.02186248409975765</v>
      </c>
      <c r="G59" s="262">
        <f t="shared" si="23"/>
        <v>0.01822755871288854</v>
      </c>
      <c r="H59" s="262">
        <f t="shared" si="23"/>
        <v>0.03994295107632095</v>
      </c>
      <c r="I59" s="262">
        <f t="shared" si="23"/>
        <v>0.13948386692759293</v>
      </c>
      <c r="J59" s="262">
        <f t="shared" si="23"/>
        <v>0.11314071545988257</v>
      </c>
      <c r="K59" s="262">
        <f t="shared" si="23"/>
        <v>0.024545930562518626</v>
      </c>
      <c r="L59" s="262">
        <f t="shared" si="23"/>
        <v>0.19578983953033266</v>
      </c>
      <c r="M59" s="293">
        <f t="shared" si="23"/>
        <v>0.004627148793977166</v>
      </c>
      <c r="N59" s="293">
        <f t="shared" si="23"/>
        <v>0.02523470563085346</v>
      </c>
      <c r="O59" s="262">
        <f>O58/70</f>
        <v>0.05301398043052838</v>
      </c>
      <c r="P59" s="294">
        <f>P58/70</f>
        <v>0.011985794047035299</v>
      </c>
    </row>
    <row r="60" spans="1:16" ht="13.5" thickBot="1">
      <c r="A60" s="37"/>
      <c r="B60" s="39"/>
      <c r="C60" s="38" t="s">
        <v>40</v>
      </c>
      <c r="D60" s="39"/>
      <c r="E60" s="263">
        <f aca="true" t="shared" si="24" ref="E60:P60">4.075/E59</f>
        <v>254.18146905746377</v>
      </c>
      <c r="F60" s="263">
        <f t="shared" si="24"/>
        <v>186.39235968821916</v>
      </c>
      <c r="G60" s="263">
        <f t="shared" si="24"/>
        <v>223.56257709479243</v>
      </c>
      <c r="H60" s="263">
        <f t="shared" si="24"/>
        <v>102.02050399865796</v>
      </c>
      <c r="I60" s="263">
        <f t="shared" si="24"/>
        <v>29.21484820976007</v>
      </c>
      <c r="J60" s="263">
        <f t="shared" si="24"/>
        <v>36.017095909605715</v>
      </c>
      <c r="K60" s="263">
        <f t="shared" si="24"/>
        <v>166.01529893604774</v>
      </c>
      <c r="L60" s="263">
        <f t="shared" si="24"/>
        <v>20.813133152237363</v>
      </c>
      <c r="M60" s="295">
        <f t="shared" si="24"/>
        <v>880.6719172947584</v>
      </c>
      <c r="N60" s="295">
        <f t="shared" si="24"/>
        <v>161.48395228425656</v>
      </c>
      <c r="O60" s="263">
        <f t="shared" si="24"/>
        <v>76.86651647182089</v>
      </c>
      <c r="P60" s="169">
        <f t="shared" si="24"/>
        <v>339.985818545577</v>
      </c>
    </row>
    <row r="61" spans="5:16" ht="12.75">
      <c r="E61" s="247"/>
      <c r="F61" s="247"/>
      <c r="G61" s="247"/>
      <c r="H61" s="247"/>
      <c r="I61" s="247"/>
      <c r="J61" s="247"/>
      <c r="K61" s="247"/>
      <c r="L61" s="247"/>
      <c r="M61" s="275"/>
      <c r="N61" s="275"/>
      <c r="O61" s="247"/>
      <c r="P61" s="275"/>
    </row>
    <row r="62" spans="1:16" ht="12.75">
      <c r="A62" s="32"/>
      <c r="B62" s="33" t="s">
        <v>55</v>
      </c>
      <c r="C62" s="32"/>
      <c r="D62" s="32"/>
      <c r="E62" s="264"/>
      <c r="F62" s="264"/>
      <c r="G62" s="264"/>
      <c r="H62" s="264"/>
      <c r="I62" s="191"/>
      <c r="J62" s="264"/>
      <c r="K62" s="264"/>
      <c r="L62" s="264"/>
      <c r="M62" s="264"/>
      <c r="N62" s="264"/>
      <c r="O62" s="264"/>
      <c r="P62" s="264"/>
    </row>
    <row r="63" spans="1:16" ht="12.75">
      <c r="A63" t="s">
        <v>8</v>
      </c>
      <c r="B63" t="s">
        <v>29</v>
      </c>
      <c r="E63" s="265">
        <v>2.35</v>
      </c>
      <c r="F63" s="265">
        <v>2.35</v>
      </c>
      <c r="G63" s="265">
        <v>2.35</v>
      </c>
      <c r="H63" s="265">
        <v>2.35</v>
      </c>
      <c r="I63" s="265">
        <v>2.35</v>
      </c>
      <c r="J63" s="265">
        <v>2.35</v>
      </c>
      <c r="K63" s="265">
        <v>2.35</v>
      </c>
      <c r="L63" s="265">
        <v>2.35</v>
      </c>
      <c r="M63" s="193">
        <v>2.35</v>
      </c>
      <c r="N63" s="193">
        <v>2.35</v>
      </c>
      <c r="O63" s="265">
        <v>2.35</v>
      </c>
      <c r="P63" s="193">
        <v>2.35</v>
      </c>
    </row>
    <row r="64" spans="1:16" ht="12.75">
      <c r="A64" t="s">
        <v>8</v>
      </c>
      <c r="B64" t="s">
        <v>41</v>
      </c>
      <c r="E64" s="266">
        <v>0.093</v>
      </c>
      <c r="F64" s="266">
        <v>0.093</v>
      </c>
      <c r="G64" s="266">
        <v>0.093</v>
      </c>
      <c r="H64" s="266">
        <v>0.093</v>
      </c>
      <c r="I64" s="266">
        <v>0.093</v>
      </c>
      <c r="J64" s="266">
        <v>0.093</v>
      </c>
      <c r="K64" s="266">
        <v>0.093</v>
      </c>
      <c r="L64" s="266">
        <v>0.093</v>
      </c>
      <c r="M64" s="188">
        <v>0.093</v>
      </c>
      <c r="N64" s="188">
        <v>0.093</v>
      </c>
      <c r="O64" s="266">
        <v>0.093</v>
      </c>
      <c r="P64" s="188">
        <v>0.093</v>
      </c>
    </row>
    <row r="65" spans="1:16" ht="12.75">
      <c r="A65" t="s">
        <v>8</v>
      </c>
      <c r="B65" t="s">
        <v>30</v>
      </c>
      <c r="E65" s="266">
        <v>0.001</v>
      </c>
      <c r="F65" s="266">
        <v>0.001</v>
      </c>
      <c r="G65" s="266">
        <v>0.001</v>
      </c>
      <c r="H65" s="266">
        <v>0.001</v>
      </c>
      <c r="I65" s="266">
        <v>0.001</v>
      </c>
      <c r="J65" s="266">
        <v>0.001</v>
      </c>
      <c r="K65" s="266">
        <v>0.001</v>
      </c>
      <c r="L65" s="266">
        <v>0.001</v>
      </c>
      <c r="M65" s="188">
        <v>0.001</v>
      </c>
      <c r="N65" s="188">
        <v>0.001</v>
      </c>
      <c r="O65" s="266">
        <v>0.001</v>
      </c>
      <c r="P65" s="188">
        <v>0.001</v>
      </c>
    </row>
    <row r="66" spans="1:16" ht="12.75">
      <c r="A66" t="s">
        <v>8</v>
      </c>
      <c r="B66" t="s">
        <v>31</v>
      </c>
      <c r="E66" s="267">
        <v>0.28</v>
      </c>
      <c r="F66" s="267">
        <v>0.28</v>
      </c>
      <c r="G66" s="267">
        <v>0.28</v>
      </c>
      <c r="H66" s="267">
        <v>0.28</v>
      </c>
      <c r="I66" s="267">
        <v>0.28</v>
      </c>
      <c r="J66" s="267">
        <v>0.28</v>
      </c>
      <c r="K66" s="267">
        <v>0.28</v>
      </c>
      <c r="L66" s="267">
        <v>0.28</v>
      </c>
      <c r="M66" s="296">
        <v>0.28</v>
      </c>
      <c r="N66" s="296">
        <v>0.28</v>
      </c>
      <c r="O66" s="267">
        <v>0.28</v>
      </c>
      <c r="P66" s="296">
        <v>0.28</v>
      </c>
    </row>
    <row r="67" spans="5:16" ht="12.75">
      <c r="E67" s="260"/>
      <c r="F67" s="260"/>
      <c r="G67" s="260"/>
      <c r="H67" s="260"/>
      <c r="I67" s="260"/>
      <c r="J67" s="260"/>
      <c r="K67" s="260"/>
      <c r="L67" s="260"/>
      <c r="M67" s="297"/>
      <c r="N67" s="297"/>
      <c r="O67" s="260"/>
      <c r="P67" s="297"/>
    </row>
    <row r="68" spans="5:16" ht="12.75">
      <c r="E68" s="268">
        <f aca="true" t="shared" si="25" ref="E68:P68">63.2-15*LN(E18+E63)</f>
        <v>37.33995536048607</v>
      </c>
      <c r="F68" s="268">
        <f t="shared" si="25"/>
        <v>32.00513722467208</v>
      </c>
      <c r="G68" s="268">
        <f t="shared" si="25"/>
        <v>35.418323896476736</v>
      </c>
      <c r="H68" s="268">
        <f t="shared" si="25"/>
        <v>17.51114958898569</v>
      </c>
      <c r="I68" s="268">
        <f t="shared" si="25"/>
        <v>-0.19078189022211234</v>
      </c>
      <c r="J68" s="268">
        <f t="shared" si="25"/>
        <v>2.847143970081383</v>
      </c>
      <c r="K68" s="268">
        <f t="shared" si="25"/>
        <v>29.07798399642224</v>
      </c>
      <c r="L68" s="268">
        <f t="shared" si="25"/>
        <v>-5.150447376051574</v>
      </c>
      <c r="M68" s="298">
        <f t="shared" si="25"/>
        <v>47.101854638532956</v>
      </c>
      <c r="N68" s="298">
        <f t="shared" si="25"/>
        <v>28.216769765099166</v>
      </c>
      <c r="O68" s="268">
        <f t="shared" si="25"/>
        <v>13.620938821687865</v>
      </c>
      <c r="P68" s="298">
        <f t="shared" si="25"/>
        <v>40.78143468959098</v>
      </c>
    </row>
    <row r="69" spans="5:16" ht="12.75">
      <c r="E69" s="254">
        <f aca="true" t="shared" si="26" ref="E69:P69">-0.1167*(E18+E63)</f>
        <v>-0.6543284976</v>
      </c>
      <c r="F69" s="254">
        <f t="shared" si="26"/>
        <v>-0.9338016575999998</v>
      </c>
      <c r="G69" s="254">
        <f t="shared" si="26"/>
        <v>-0.7437599088000001</v>
      </c>
      <c r="H69" s="254">
        <f t="shared" si="26"/>
        <v>-2.4541356480000003</v>
      </c>
      <c r="I69" s="254">
        <f t="shared" si="26"/>
        <v>-7.987704215999999</v>
      </c>
      <c r="J69" s="254">
        <f t="shared" si="26"/>
        <v>-6.523264857599999</v>
      </c>
      <c r="K69" s="254">
        <f t="shared" si="26"/>
        <v>-1.1350223327999998</v>
      </c>
      <c r="L69" s="254">
        <f t="shared" si="26"/>
        <v>-11.117803608</v>
      </c>
      <c r="M69" s="285">
        <f t="shared" si="26"/>
        <v>-0.34131855839999997</v>
      </c>
      <c r="N69" s="285">
        <f t="shared" si="26"/>
        <v>-1.2020958912</v>
      </c>
      <c r="O69" s="254">
        <f t="shared" si="26"/>
        <v>-3.180765864</v>
      </c>
      <c r="P69" s="285">
        <f t="shared" si="26"/>
        <v>-0.5201813808</v>
      </c>
    </row>
    <row r="70" spans="3:16" ht="12.75">
      <c r="C70" s="14" t="s">
        <v>21</v>
      </c>
      <c r="E70" s="268">
        <f>72.9*EXP(E69)</f>
        <v>37.89276290252287</v>
      </c>
      <c r="F70" s="268">
        <f aca="true" t="shared" si="27" ref="F70:N70">72.9*EXP(F69)</f>
        <v>28.653826126434645</v>
      </c>
      <c r="G70" s="268">
        <f t="shared" si="27"/>
        <v>34.651074325306375</v>
      </c>
      <c r="H70" s="268">
        <f t="shared" si="27"/>
        <v>6.264839634758597</v>
      </c>
      <c r="I70" s="268">
        <f t="shared" si="27"/>
        <v>0.024757777993214995</v>
      </c>
      <c r="J70" s="268">
        <f t="shared" si="27"/>
        <v>0.107080304294444</v>
      </c>
      <c r="K70" s="268">
        <f t="shared" si="27"/>
        <v>23.43114935626156</v>
      </c>
      <c r="L70" s="268">
        <f t="shared" si="27"/>
        <v>0.0010822479466022672</v>
      </c>
      <c r="M70" s="298">
        <f t="shared" si="27"/>
        <v>51.81968418296959</v>
      </c>
      <c r="N70" s="298">
        <f t="shared" si="27"/>
        <v>21.911086636025775</v>
      </c>
      <c r="O70" s="268">
        <f>72.9*EXP(O69)</f>
        <v>3.029273358288799</v>
      </c>
      <c r="P70" s="298">
        <f>72.9*EXP(P69)</f>
        <v>43.33268751665523</v>
      </c>
    </row>
    <row r="71" spans="5:16" ht="12.75">
      <c r="E71" s="255">
        <f>AVERAGE(E68,E70)</f>
        <v>37.61635913150447</v>
      </c>
      <c r="F71" s="255">
        <f aca="true" t="shared" si="28" ref="F71:N71">AVERAGE(F68,F70)</f>
        <v>30.329481675553364</v>
      </c>
      <c r="G71" s="255">
        <f t="shared" si="28"/>
        <v>35.03469911089155</v>
      </c>
      <c r="H71" s="255">
        <v>20</v>
      </c>
      <c r="I71" s="255">
        <v>20</v>
      </c>
      <c r="J71" s="255">
        <v>20</v>
      </c>
      <c r="K71" s="255">
        <f t="shared" si="28"/>
        <v>26.254566676341902</v>
      </c>
      <c r="L71" s="255">
        <v>20</v>
      </c>
      <c r="M71" s="286">
        <f t="shared" si="28"/>
        <v>49.46076941075127</v>
      </c>
      <c r="N71" s="286">
        <f t="shared" si="28"/>
        <v>25.063928200562472</v>
      </c>
      <c r="O71" s="255">
        <v>20</v>
      </c>
      <c r="P71" s="286">
        <f>AVERAGE(P68,P70)</f>
        <v>42.057061103123104</v>
      </c>
    </row>
    <row r="72" spans="5:16" s="25" customFormat="1" ht="12.75">
      <c r="E72" s="268"/>
      <c r="F72" s="268"/>
      <c r="G72" s="268"/>
      <c r="H72" s="268"/>
      <c r="I72" s="268"/>
      <c r="J72" s="268"/>
      <c r="K72" s="268"/>
      <c r="L72" s="268"/>
      <c r="M72" s="298"/>
      <c r="N72" s="298"/>
      <c r="O72" s="268"/>
      <c r="P72" s="298"/>
    </row>
    <row r="73" spans="1:16" ht="12.75">
      <c r="A73" s="32"/>
      <c r="B73" s="33" t="s">
        <v>32</v>
      </c>
      <c r="C73" s="32"/>
      <c r="D73" s="32"/>
      <c r="E73" s="264"/>
      <c r="F73" s="264"/>
      <c r="G73" s="264"/>
      <c r="H73" s="264"/>
      <c r="I73" s="191"/>
      <c r="J73" s="264"/>
      <c r="K73" s="264"/>
      <c r="L73" s="264"/>
      <c r="M73" s="264"/>
      <c r="N73" s="264"/>
      <c r="O73" s="264"/>
      <c r="P73" s="264"/>
    </row>
    <row r="74" spans="1:16" ht="12.75">
      <c r="A74" t="s">
        <v>8</v>
      </c>
      <c r="B74" t="s">
        <v>86</v>
      </c>
      <c r="D74" s="20"/>
      <c r="E74" s="269">
        <f aca="true" t="shared" si="29" ref="E74:P74">E63*E71/100</f>
        <v>0.883984439590355</v>
      </c>
      <c r="F74" s="269">
        <f t="shared" si="29"/>
        <v>0.7127428193755041</v>
      </c>
      <c r="G74" s="269">
        <f t="shared" si="29"/>
        <v>0.8233154291059515</v>
      </c>
      <c r="H74" s="269">
        <f t="shared" si="29"/>
        <v>0.47</v>
      </c>
      <c r="I74" s="269">
        <f t="shared" si="29"/>
        <v>0.47</v>
      </c>
      <c r="J74" s="269">
        <f t="shared" si="29"/>
        <v>0.47</v>
      </c>
      <c r="K74" s="269">
        <f t="shared" si="29"/>
        <v>0.6169823168940347</v>
      </c>
      <c r="L74" s="269">
        <f t="shared" si="29"/>
        <v>0.47</v>
      </c>
      <c r="M74" s="187">
        <f t="shared" si="29"/>
        <v>1.1623280811526548</v>
      </c>
      <c r="N74" s="187">
        <f t="shared" si="29"/>
        <v>0.5890023127132181</v>
      </c>
      <c r="O74" s="269">
        <f t="shared" si="29"/>
        <v>0.47</v>
      </c>
      <c r="P74" s="187">
        <f t="shared" si="29"/>
        <v>0.988340935923393</v>
      </c>
    </row>
    <row r="75" spans="1:16" ht="12.75">
      <c r="A75" t="s">
        <v>8</v>
      </c>
      <c r="B75" t="s">
        <v>87</v>
      </c>
      <c r="D75" s="21"/>
      <c r="E75" s="266">
        <f aca="true" t="shared" si="30" ref="E75:P75">(E64+E65)*1</f>
        <v>0.094</v>
      </c>
      <c r="F75" s="266">
        <f t="shared" si="30"/>
        <v>0.094</v>
      </c>
      <c r="G75" s="266">
        <f t="shared" si="30"/>
        <v>0.094</v>
      </c>
      <c r="H75" s="266">
        <f t="shared" si="30"/>
        <v>0.094</v>
      </c>
      <c r="I75" s="266">
        <f t="shared" si="30"/>
        <v>0.094</v>
      </c>
      <c r="J75" s="266">
        <f t="shared" si="30"/>
        <v>0.094</v>
      </c>
      <c r="K75" s="266">
        <f t="shared" si="30"/>
        <v>0.094</v>
      </c>
      <c r="L75" s="266">
        <f t="shared" si="30"/>
        <v>0.094</v>
      </c>
      <c r="M75" s="188">
        <f t="shared" si="30"/>
        <v>0.094</v>
      </c>
      <c r="N75" s="188">
        <f t="shared" si="30"/>
        <v>0.094</v>
      </c>
      <c r="O75" s="266">
        <f t="shared" si="30"/>
        <v>0.094</v>
      </c>
      <c r="P75" s="188">
        <f t="shared" si="30"/>
        <v>0.094</v>
      </c>
    </row>
    <row r="76" spans="1:16" ht="12.75">
      <c r="A76" t="s">
        <v>8</v>
      </c>
      <c r="B76" t="s">
        <v>88</v>
      </c>
      <c r="D76" s="7"/>
      <c r="E76" s="165">
        <f aca="true" t="shared" si="31" ref="E76:P76">E66*0.3/100</f>
        <v>0.00084</v>
      </c>
      <c r="F76" s="165">
        <f t="shared" si="31"/>
        <v>0.00084</v>
      </c>
      <c r="G76" s="165">
        <f t="shared" si="31"/>
        <v>0.00084</v>
      </c>
      <c r="H76" s="165">
        <f t="shared" si="31"/>
        <v>0.00084</v>
      </c>
      <c r="I76" s="165">
        <f t="shared" si="31"/>
        <v>0.00084</v>
      </c>
      <c r="J76" s="165">
        <f t="shared" si="31"/>
        <v>0.00084</v>
      </c>
      <c r="K76" s="165">
        <f t="shared" si="31"/>
        <v>0.00084</v>
      </c>
      <c r="L76" s="165">
        <f t="shared" si="31"/>
        <v>0.00084</v>
      </c>
      <c r="M76" s="189">
        <f t="shared" si="31"/>
        <v>0.00084</v>
      </c>
      <c r="N76" s="189">
        <f t="shared" si="31"/>
        <v>0.00084</v>
      </c>
      <c r="O76" s="165">
        <f t="shared" si="31"/>
        <v>0.00084</v>
      </c>
      <c r="P76" s="189">
        <f t="shared" si="31"/>
        <v>0.00084</v>
      </c>
    </row>
    <row r="77" spans="1:16" ht="12.75">
      <c r="A77" s="41" t="s">
        <v>8</v>
      </c>
      <c r="B77" s="41" t="s">
        <v>89</v>
      </c>
      <c r="C77" s="41"/>
      <c r="D77" s="41"/>
      <c r="E77" s="310">
        <f>SUM(E74:E76)</f>
        <v>0.9788244395903549</v>
      </c>
      <c r="F77" s="310">
        <f aca="true" t="shared" si="32" ref="F77:P77">SUM(F74:F76)</f>
        <v>0.807582819375504</v>
      </c>
      <c r="G77" s="310">
        <f t="shared" si="32"/>
        <v>0.9181554291059514</v>
      </c>
      <c r="H77" s="310">
        <f t="shared" si="32"/>
        <v>0.5648399999999999</v>
      </c>
      <c r="I77" s="310">
        <f t="shared" si="32"/>
        <v>0.5648399999999999</v>
      </c>
      <c r="J77" s="310">
        <f t="shared" si="32"/>
        <v>0.5648399999999999</v>
      </c>
      <c r="K77" s="310">
        <f t="shared" si="32"/>
        <v>0.7118223168940346</v>
      </c>
      <c r="L77" s="310">
        <f t="shared" si="32"/>
        <v>0.5648399999999999</v>
      </c>
      <c r="M77" s="311">
        <f t="shared" si="32"/>
        <v>1.2571680811526549</v>
      </c>
      <c r="N77" s="311">
        <f t="shared" si="32"/>
        <v>0.683842312713218</v>
      </c>
      <c r="O77" s="310">
        <f t="shared" si="32"/>
        <v>0.5648399999999999</v>
      </c>
      <c r="P77" s="311">
        <f t="shared" si="32"/>
        <v>1.083180935923393</v>
      </c>
    </row>
    <row r="78" spans="1:16" ht="12.75">
      <c r="A78" s="24" t="s">
        <v>39</v>
      </c>
      <c r="B78" s="24" t="s">
        <v>89</v>
      </c>
      <c r="E78" s="72">
        <f>E77/70</f>
        <v>0.013983206279862213</v>
      </c>
      <c r="F78" s="72">
        <f aca="true" t="shared" si="33" ref="F78:P78">F77/70</f>
        <v>0.011536897419650057</v>
      </c>
      <c r="G78" s="72">
        <f t="shared" si="33"/>
        <v>0.01311650613008502</v>
      </c>
      <c r="H78" s="72">
        <f t="shared" si="33"/>
        <v>0.008069142857142856</v>
      </c>
      <c r="I78" s="72">
        <f t="shared" si="33"/>
        <v>0.008069142857142856</v>
      </c>
      <c r="J78" s="72">
        <f t="shared" si="33"/>
        <v>0.008069142857142856</v>
      </c>
      <c r="K78" s="72">
        <f t="shared" si="33"/>
        <v>0.010168890241343351</v>
      </c>
      <c r="L78" s="72">
        <f t="shared" si="33"/>
        <v>0.008069142857142856</v>
      </c>
      <c r="M78" s="72">
        <f t="shared" si="33"/>
        <v>0.0179595440164665</v>
      </c>
      <c r="N78" s="72">
        <f t="shared" si="33"/>
        <v>0.009769175895903115</v>
      </c>
      <c r="O78" s="72">
        <f t="shared" si="33"/>
        <v>0.008069142857142856</v>
      </c>
      <c r="P78" s="72">
        <f t="shared" si="33"/>
        <v>0.015474013370334187</v>
      </c>
    </row>
    <row r="79" spans="1:16" ht="12.75">
      <c r="A79" s="24"/>
      <c r="B79" s="24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</row>
    <row r="80" spans="1:16" ht="12.75">
      <c r="A80" t="s">
        <v>8</v>
      </c>
      <c r="B80" t="s">
        <v>90</v>
      </c>
      <c r="E80" s="317">
        <f aca="true" t="shared" si="34" ref="E80:P80">E71*E18*(240/365)/(100)</f>
        <v>0.8055700163076334</v>
      </c>
      <c r="F80" s="317">
        <f t="shared" si="34"/>
        <v>1.1271056272518036</v>
      </c>
      <c r="G80" s="317">
        <f t="shared" si="34"/>
        <v>0.9268197940844842</v>
      </c>
      <c r="H80" s="317">
        <f t="shared" si="34"/>
        <v>2.456474301369863</v>
      </c>
      <c r="I80" s="317">
        <f t="shared" si="34"/>
        <v>8.692139835616437</v>
      </c>
      <c r="J80" s="317">
        <f t="shared" si="34"/>
        <v>7.041892997260273</v>
      </c>
      <c r="K80" s="317">
        <f t="shared" si="34"/>
        <v>1.273336528646341</v>
      </c>
      <c r="L80" s="317">
        <f t="shared" si="34"/>
        <v>12.219384986301367</v>
      </c>
      <c r="M80" s="320">
        <f t="shared" si="34"/>
        <v>0.18692170612844783</v>
      </c>
      <c r="N80" s="320">
        <f t="shared" si="34"/>
        <v>1.3103123917520694</v>
      </c>
      <c r="O80" s="317">
        <f t="shared" si="34"/>
        <v>3.2752990684931502</v>
      </c>
      <c r="P80" s="320">
        <f t="shared" si="34"/>
        <v>0.5827861475387711</v>
      </c>
    </row>
    <row r="81" spans="1:16" ht="12.75">
      <c r="A81" t="s">
        <v>8</v>
      </c>
      <c r="B81" t="s">
        <v>91</v>
      </c>
      <c r="E81" s="318">
        <f aca="true" t="shared" si="35" ref="E81:P81">E53*0.03*(240/365)/(100)</f>
        <v>0.051090410958904105</v>
      </c>
      <c r="F81" s="318">
        <f t="shared" si="35"/>
        <v>0.051090410958904105</v>
      </c>
      <c r="G81" s="318">
        <f t="shared" si="35"/>
        <v>0.051090410958904105</v>
      </c>
      <c r="H81" s="318">
        <f t="shared" si="35"/>
        <v>0.051090410958904105</v>
      </c>
      <c r="I81" s="318">
        <f t="shared" si="35"/>
        <v>0.051090410958904105</v>
      </c>
      <c r="J81" s="318">
        <f t="shared" si="35"/>
        <v>0.051090410958904105</v>
      </c>
      <c r="K81" s="318">
        <f t="shared" si="35"/>
        <v>0.051090410958904105</v>
      </c>
      <c r="L81" s="318">
        <f t="shared" si="35"/>
        <v>0.051090410958904105</v>
      </c>
      <c r="M81" s="321">
        <f t="shared" si="35"/>
        <v>0.051090410958904105</v>
      </c>
      <c r="N81" s="321">
        <f t="shared" si="35"/>
        <v>0.051090410958904105</v>
      </c>
      <c r="O81" s="318">
        <f t="shared" si="35"/>
        <v>0.051090410958904105</v>
      </c>
      <c r="P81" s="321">
        <f t="shared" si="35"/>
        <v>0.051090410958904105</v>
      </c>
    </row>
    <row r="82" spans="1:16" ht="12.75">
      <c r="A82" t="s">
        <v>8</v>
      </c>
      <c r="B82" t="s">
        <v>92</v>
      </c>
      <c r="E82" s="319">
        <f aca="true" t="shared" si="36" ref="E82:P82">E47*(240/365)</f>
        <v>0.05029242739726027</v>
      </c>
      <c r="F82" s="319">
        <f t="shared" si="36"/>
        <v>0.08727215342465751</v>
      </c>
      <c r="G82" s="319">
        <f t="shared" si="36"/>
        <v>0.062125939726027396</v>
      </c>
      <c r="H82" s="319">
        <f t="shared" si="36"/>
        <v>0.2884418630136987</v>
      </c>
      <c r="I82" s="319">
        <f t="shared" si="36"/>
        <v>1.0206404383561642</v>
      </c>
      <c r="J82" s="319">
        <f t="shared" si="36"/>
        <v>0.8268666739726028</v>
      </c>
      <c r="K82" s="319">
        <f t="shared" si="36"/>
        <v>0.11389755616438355</v>
      </c>
      <c r="L82" s="319">
        <f t="shared" si="36"/>
        <v>1.4348133698630137</v>
      </c>
      <c r="M82" s="322">
        <f t="shared" si="36"/>
        <v>0.008875134246575342</v>
      </c>
      <c r="N82" s="322">
        <f t="shared" si="36"/>
        <v>0.12277269041095887</v>
      </c>
      <c r="O82" s="319">
        <f t="shared" si="36"/>
        <v>0.3845891506849315</v>
      </c>
      <c r="P82" s="322">
        <f t="shared" si="36"/>
        <v>0.032542158904109594</v>
      </c>
    </row>
    <row r="83" spans="1:16" ht="12.75">
      <c r="A83" s="41" t="s">
        <v>8</v>
      </c>
      <c r="B83" s="41" t="s">
        <v>93</v>
      </c>
      <c r="C83" s="41"/>
      <c r="D83" s="41"/>
      <c r="E83" s="310">
        <f>SUM(E80:E82)</f>
        <v>0.9069528546637977</v>
      </c>
      <c r="F83" s="310">
        <f aca="true" t="shared" si="37" ref="F83:P83">SUM(F80:F82)</f>
        <v>1.2654681916353652</v>
      </c>
      <c r="G83" s="310">
        <f t="shared" si="37"/>
        <v>1.0400361447694157</v>
      </c>
      <c r="H83" s="310">
        <f t="shared" si="37"/>
        <v>2.7960065753424654</v>
      </c>
      <c r="I83" s="310">
        <f t="shared" si="37"/>
        <v>9.763870684931506</v>
      </c>
      <c r="J83" s="310">
        <f t="shared" si="37"/>
        <v>7.919850082191781</v>
      </c>
      <c r="K83" s="310">
        <f t="shared" si="37"/>
        <v>1.4383244957696286</v>
      </c>
      <c r="L83" s="310">
        <f t="shared" si="37"/>
        <v>13.705288767123285</v>
      </c>
      <c r="M83" s="311">
        <f t="shared" si="37"/>
        <v>0.24688725133392728</v>
      </c>
      <c r="N83" s="311">
        <f t="shared" si="37"/>
        <v>1.4841754931219324</v>
      </c>
      <c r="O83" s="310">
        <f t="shared" si="37"/>
        <v>3.710978630136986</v>
      </c>
      <c r="P83" s="311">
        <f t="shared" si="37"/>
        <v>0.6664187174017848</v>
      </c>
    </row>
    <row r="84" spans="1:16" ht="12.75">
      <c r="A84" s="24" t="s">
        <v>39</v>
      </c>
      <c r="B84" s="24" t="s">
        <v>93</v>
      </c>
      <c r="E84" s="72">
        <f aca="true" t="shared" si="38" ref="E84:P84">E83/70</f>
        <v>0.012956469352339968</v>
      </c>
      <c r="F84" s="72">
        <f t="shared" si="38"/>
        <v>0.01807811702336236</v>
      </c>
      <c r="G84" s="72">
        <f t="shared" si="38"/>
        <v>0.014857659210991653</v>
      </c>
      <c r="H84" s="72">
        <f t="shared" si="38"/>
        <v>0.03994295107632093</v>
      </c>
      <c r="I84" s="72">
        <f t="shared" si="38"/>
        <v>0.13948386692759293</v>
      </c>
      <c r="J84" s="72">
        <f t="shared" si="38"/>
        <v>0.11314071545988258</v>
      </c>
      <c r="K84" s="72">
        <f t="shared" si="38"/>
        <v>0.02054749279670898</v>
      </c>
      <c r="L84" s="72">
        <f t="shared" si="38"/>
        <v>0.19578983953033266</v>
      </c>
      <c r="M84" s="190">
        <f t="shared" si="38"/>
        <v>0.0035269607333418183</v>
      </c>
      <c r="N84" s="190">
        <f t="shared" si="38"/>
        <v>0.021202507044599035</v>
      </c>
      <c r="O84" s="72">
        <f t="shared" si="38"/>
        <v>0.05301398043052837</v>
      </c>
      <c r="P84" s="190">
        <f t="shared" si="38"/>
        <v>0.00952026739145407</v>
      </c>
    </row>
    <row r="85" spans="5:16" ht="13.5" thickBot="1">
      <c r="E85" s="247"/>
      <c r="F85" s="247"/>
      <c r="G85" s="247"/>
      <c r="H85" s="247"/>
      <c r="I85" s="247"/>
      <c r="J85" s="247"/>
      <c r="K85" s="247"/>
      <c r="L85" s="247"/>
      <c r="M85" s="275"/>
      <c r="N85" s="275"/>
      <c r="O85" s="247"/>
      <c r="P85" s="275"/>
    </row>
    <row r="86" spans="1:16" ht="38.25" customHeight="1">
      <c r="A86" s="45" t="s">
        <v>8</v>
      </c>
      <c r="B86" s="332" t="s">
        <v>32</v>
      </c>
      <c r="C86" s="333"/>
      <c r="D86" s="333"/>
      <c r="E86" s="42">
        <f aca="true" t="shared" si="39" ref="E86:P86">E77+E83</f>
        <v>1.8857772942541526</v>
      </c>
      <c r="F86" s="42">
        <f t="shared" si="39"/>
        <v>2.073051011010869</v>
      </c>
      <c r="G86" s="42">
        <f t="shared" si="39"/>
        <v>1.958191573875367</v>
      </c>
      <c r="H86" s="42">
        <f t="shared" si="39"/>
        <v>3.3608465753424652</v>
      </c>
      <c r="I86" s="42">
        <f t="shared" si="39"/>
        <v>10.328710684931506</v>
      </c>
      <c r="J86" s="42">
        <f t="shared" si="39"/>
        <v>8.484690082191781</v>
      </c>
      <c r="K86" s="42">
        <f t="shared" si="39"/>
        <v>2.1501468126636634</v>
      </c>
      <c r="L86" s="42">
        <f t="shared" si="39"/>
        <v>14.270128767123285</v>
      </c>
      <c r="M86" s="80">
        <f t="shared" si="39"/>
        <v>1.5040553324865822</v>
      </c>
      <c r="N86" s="80">
        <f t="shared" si="39"/>
        <v>2.1680178058351505</v>
      </c>
      <c r="O86" s="42">
        <f t="shared" si="39"/>
        <v>4.275818630136986</v>
      </c>
      <c r="P86" s="80">
        <f t="shared" si="39"/>
        <v>1.7495996533251779</v>
      </c>
    </row>
    <row r="87" spans="1:16" ht="12.75">
      <c r="A87" s="36" t="s">
        <v>39</v>
      </c>
      <c r="B87" s="35"/>
      <c r="C87" s="23"/>
      <c r="D87" s="23"/>
      <c r="E87" s="43">
        <f aca="true" t="shared" si="40" ref="E87:P87">E86/70</f>
        <v>0.02693967563220218</v>
      </c>
      <c r="F87" s="43">
        <f t="shared" si="40"/>
        <v>0.029615014443012417</v>
      </c>
      <c r="G87" s="43">
        <f t="shared" si="40"/>
        <v>0.027974165341076673</v>
      </c>
      <c r="H87" s="43">
        <f t="shared" si="40"/>
        <v>0.04801209393346379</v>
      </c>
      <c r="I87" s="43">
        <f t="shared" si="40"/>
        <v>0.14755300978473582</v>
      </c>
      <c r="J87" s="43">
        <f t="shared" si="40"/>
        <v>0.12120985831702544</v>
      </c>
      <c r="K87" s="43">
        <f t="shared" si="40"/>
        <v>0.030716383038052335</v>
      </c>
      <c r="L87" s="43">
        <f t="shared" si="40"/>
        <v>0.20385898238747552</v>
      </c>
      <c r="M87" s="81">
        <f t="shared" si="40"/>
        <v>0.021486504749808316</v>
      </c>
      <c r="N87" s="81">
        <f t="shared" si="40"/>
        <v>0.03097168294050215</v>
      </c>
      <c r="O87" s="43">
        <f t="shared" si="40"/>
        <v>0.06108312328767123</v>
      </c>
      <c r="P87" s="81">
        <f t="shared" si="40"/>
        <v>0.024994280761788255</v>
      </c>
    </row>
    <row r="88" spans="2:16" ht="13.5" thickBot="1">
      <c r="B88" s="37"/>
      <c r="C88" s="38" t="s">
        <v>40</v>
      </c>
      <c r="D88" s="39"/>
      <c r="E88" s="271">
        <f aca="true" t="shared" si="41" ref="E88:P88">4.075/E87</f>
        <v>151.26388512001878</v>
      </c>
      <c r="F88" s="271">
        <f t="shared" si="41"/>
        <v>137.5991224938094</v>
      </c>
      <c r="G88" s="271">
        <f t="shared" si="41"/>
        <v>145.67011920875282</v>
      </c>
      <c r="H88" s="271">
        <f t="shared" si="41"/>
        <v>84.87444862636535</v>
      </c>
      <c r="I88" s="271">
        <f t="shared" si="41"/>
        <v>27.617193345937117</v>
      </c>
      <c r="J88" s="271">
        <f t="shared" si="41"/>
        <v>33.6193776362794</v>
      </c>
      <c r="K88" s="271">
        <f t="shared" si="41"/>
        <v>132.66535955590126</v>
      </c>
      <c r="L88" s="271">
        <f t="shared" si="41"/>
        <v>19.98930806126871</v>
      </c>
      <c r="M88" s="169">
        <f t="shared" si="41"/>
        <v>189.6539268461686</v>
      </c>
      <c r="N88" s="169">
        <f t="shared" si="41"/>
        <v>131.57179762650418</v>
      </c>
      <c r="O88" s="271">
        <f t="shared" si="41"/>
        <v>66.71237128476176</v>
      </c>
      <c r="P88" s="169">
        <f t="shared" si="41"/>
        <v>163.03729796577863</v>
      </c>
    </row>
  </sheetData>
  <sheetProtection/>
  <mergeCells count="2">
    <mergeCell ref="B58:D58"/>
    <mergeCell ref="B86:D8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55">
      <selection activeCell="A2" sqref="A2"/>
    </sheetView>
  </sheetViews>
  <sheetFormatPr defaultColWidth="9.140625" defaultRowHeight="12.75"/>
  <cols>
    <col min="3" max="3" width="13.7109375" style="0" customWidth="1"/>
    <col min="4" max="4" width="14.8515625" style="0" customWidth="1"/>
    <col min="5" max="5" width="15.57421875" style="206" customWidth="1"/>
    <col min="6" max="6" width="10.57421875" style="206" customWidth="1"/>
    <col min="7" max="7" width="10.8515625" style="206" customWidth="1"/>
    <col min="8" max="8" width="10.00390625" style="206" customWidth="1"/>
    <col min="9" max="12" width="9.140625" style="206" customWidth="1"/>
    <col min="13" max="13" width="9.140625" style="203" customWidth="1"/>
    <col min="14" max="14" width="10.421875" style="203" customWidth="1"/>
    <col min="15" max="15" width="9.57421875" style="206" customWidth="1"/>
    <col min="16" max="16" width="11.00390625" style="203" customWidth="1"/>
  </cols>
  <sheetData>
    <row r="1" spans="1:9" ht="12.75">
      <c r="A1" s="1" t="s">
        <v>100</v>
      </c>
      <c r="B1" s="1"/>
      <c r="C1" s="1"/>
      <c r="D1" s="2"/>
      <c r="E1" s="205"/>
      <c r="F1" s="205"/>
      <c r="G1" s="205"/>
      <c r="H1" s="205"/>
      <c r="I1" s="205"/>
    </row>
    <row r="2" spans="1:9" ht="12.75">
      <c r="A2" s="1" t="s">
        <v>33</v>
      </c>
      <c r="B2" s="1"/>
      <c r="C2" s="1"/>
      <c r="D2" s="2"/>
      <c r="E2" s="205"/>
      <c r="F2" s="205"/>
      <c r="G2" s="205"/>
      <c r="H2" s="205"/>
      <c r="I2" s="205"/>
    </row>
    <row r="3" spans="2:4" ht="12.75">
      <c r="B3" s="3" t="s">
        <v>1</v>
      </c>
      <c r="C3" s="4" t="s">
        <v>2</v>
      </c>
      <c r="D3" s="5" t="s">
        <v>3</v>
      </c>
    </row>
    <row r="4" ht="12.75"/>
    <row r="5" spans="1:16" s="25" customFormat="1" ht="12.75">
      <c r="A5" s="32"/>
      <c r="B5" s="33" t="s">
        <v>53</v>
      </c>
      <c r="C5" s="32"/>
      <c r="D5" s="32"/>
      <c r="E5" s="207"/>
      <c r="F5" s="209"/>
      <c r="G5" s="209"/>
      <c r="H5" s="209"/>
      <c r="I5" s="209"/>
      <c r="J5" s="209"/>
      <c r="K5" s="209"/>
      <c r="L5" s="209"/>
      <c r="M5" s="211"/>
      <c r="N5" s="211"/>
      <c r="O5" s="209"/>
      <c r="P5" s="211"/>
    </row>
    <row r="6" spans="2:16" s="25" customFormat="1" ht="12.75">
      <c r="B6" s="74" t="s">
        <v>4</v>
      </c>
      <c r="E6" s="208"/>
      <c r="F6" s="210"/>
      <c r="G6" s="210"/>
      <c r="H6" s="210"/>
      <c r="I6" s="210"/>
      <c r="J6" s="210"/>
      <c r="K6" s="210"/>
      <c r="L6" s="210"/>
      <c r="M6" s="204"/>
      <c r="N6" s="204"/>
      <c r="O6" s="210"/>
      <c r="P6" s="204"/>
    </row>
    <row r="7" spans="1:16" ht="12.75">
      <c r="A7" t="s">
        <v>6</v>
      </c>
      <c r="B7" t="s">
        <v>5</v>
      </c>
      <c r="E7" s="120">
        <v>0.82</v>
      </c>
      <c r="F7" s="120">
        <v>0.97</v>
      </c>
      <c r="G7" s="120">
        <v>0.92</v>
      </c>
      <c r="H7" s="120">
        <v>10.2</v>
      </c>
      <c r="I7" s="120">
        <v>98.2</v>
      </c>
      <c r="J7" s="120">
        <v>19</v>
      </c>
      <c r="K7" s="120">
        <v>3.69</v>
      </c>
      <c r="L7" s="120">
        <v>11.16</v>
      </c>
      <c r="M7" s="272">
        <v>0.22</v>
      </c>
      <c r="N7" s="272">
        <v>1.6</v>
      </c>
      <c r="O7" s="120">
        <v>11.26</v>
      </c>
      <c r="P7" s="272">
        <v>1.13</v>
      </c>
    </row>
    <row r="8" spans="5:16" ht="12.75">
      <c r="E8" s="246"/>
      <c r="F8" s="247"/>
      <c r="G8" s="247"/>
      <c r="H8" s="247"/>
      <c r="I8" s="247"/>
      <c r="J8" s="247"/>
      <c r="K8" s="247"/>
      <c r="L8" s="247"/>
      <c r="M8" s="275"/>
      <c r="N8" s="275"/>
      <c r="O8" s="247"/>
      <c r="P8" s="275"/>
    </row>
    <row r="9" spans="1:16" ht="12.75">
      <c r="A9" t="s">
        <v>8</v>
      </c>
      <c r="B9" t="s">
        <v>7</v>
      </c>
      <c r="E9" s="246">
        <f aca="true" t="shared" si="0" ref="E9:P9">E7*10</f>
        <v>8.2</v>
      </c>
      <c r="F9" s="246">
        <f t="shared" si="0"/>
        <v>9.7</v>
      </c>
      <c r="G9" s="246">
        <f t="shared" si="0"/>
        <v>9.200000000000001</v>
      </c>
      <c r="H9" s="246">
        <f t="shared" si="0"/>
        <v>102</v>
      </c>
      <c r="I9" s="246">
        <f t="shared" si="0"/>
        <v>982</v>
      </c>
      <c r="J9" s="246">
        <f t="shared" si="0"/>
        <v>190</v>
      </c>
      <c r="K9" s="246">
        <f t="shared" si="0"/>
        <v>36.9</v>
      </c>
      <c r="L9" s="246">
        <f t="shared" si="0"/>
        <v>111.6</v>
      </c>
      <c r="M9" s="276">
        <f t="shared" si="0"/>
        <v>2.2</v>
      </c>
      <c r="N9" s="276">
        <f t="shared" si="0"/>
        <v>16</v>
      </c>
      <c r="O9" s="246">
        <f t="shared" si="0"/>
        <v>112.6</v>
      </c>
      <c r="P9" s="276">
        <f t="shared" si="0"/>
        <v>11.299999999999999</v>
      </c>
    </row>
    <row r="10" spans="1:16" ht="12.75">
      <c r="A10" t="s">
        <v>9</v>
      </c>
      <c r="C10" t="s">
        <v>96</v>
      </c>
      <c r="D10" s="9"/>
      <c r="E10" s="246">
        <f aca="true" t="shared" si="1" ref="E10:P10">0.48*E9</f>
        <v>3.9359999999999995</v>
      </c>
      <c r="F10" s="246">
        <f t="shared" si="1"/>
        <v>4.656</v>
      </c>
      <c r="G10" s="246">
        <f t="shared" si="1"/>
        <v>4.416</v>
      </c>
      <c r="H10" s="246">
        <f t="shared" si="1"/>
        <v>48.96</v>
      </c>
      <c r="I10" s="246">
        <f t="shared" si="1"/>
        <v>471.35999999999996</v>
      </c>
      <c r="J10" s="246">
        <f t="shared" si="1"/>
        <v>91.2</v>
      </c>
      <c r="K10" s="246">
        <f t="shared" si="1"/>
        <v>17.712</v>
      </c>
      <c r="L10" s="246">
        <f t="shared" si="1"/>
        <v>53.568</v>
      </c>
      <c r="M10" s="276">
        <f t="shared" si="1"/>
        <v>1.056</v>
      </c>
      <c r="N10" s="276">
        <f t="shared" si="1"/>
        <v>7.68</v>
      </c>
      <c r="O10" s="246">
        <f t="shared" si="1"/>
        <v>54.047999999999995</v>
      </c>
      <c r="P10" s="276">
        <f t="shared" si="1"/>
        <v>5.4239999999999995</v>
      </c>
    </row>
    <row r="11" spans="1:16" ht="12.75">
      <c r="A11" t="s">
        <v>9</v>
      </c>
      <c r="C11" t="s">
        <v>97</v>
      </c>
      <c r="D11" s="9"/>
      <c r="E11" s="246">
        <f aca="true" t="shared" si="2" ref="E11:P11">0.36*E9</f>
        <v>2.9519999999999995</v>
      </c>
      <c r="F11" s="246">
        <f t="shared" si="2"/>
        <v>3.4919999999999995</v>
      </c>
      <c r="G11" s="246">
        <f t="shared" si="2"/>
        <v>3.3120000000000003</v>
      </c>
      <c r="H11" s="246">
        <f t="shared" si="2"/>
        <v>36.72</v>
      </c>
      <c r="I11" s="246">
        <f t="shared" si="2"/>
        <v>353.52</v>
      </c>
      <c r="J11" s="246">
        <f t="shared" si="2"/>
        <v>68.39999999999999</v>
      </c>
      <c r="K11" s="246">
        <f t="shared" si="2"/>
        <v>13.283999999999999</v>
      </c>
      <c r="L11" s="246">
        <f t="shared" si="2"/>
        <v>40.175999999999995</v>
      </c>
      <c r="M11" s="276">
        <f t="shared" si="2"/>
        <v>0.792</v>
      </c>
      <c r="N11" s="276">
        <f t="shared" si="2"/>
        <v>5.76</v>
      </c>
      <c r="O11" s="246">
        <f t="shared" si="2"/>
        <v>40.535999999999994</v>
      </c>
      <c r="P11" s="276">
        <f t="shared" si="2"/>
        <v>4.068</v>
      </c>
    </row>
    <row r="12" spans="1:16" ht="12.75">
      <c r="A12" t="s">
        <v>9</v>
      </c>
      <c r="C12" t="s">
        <v>98</v>
      </c>
      <c r="D12" s="9"/>
      <c r="E12" s="246">
        <f aca="true" t="shared" si="3" ref="E12:P12">0.16*E9</f>
        <v>1.3119999999999998</v>
      </c>
      <c r="F12" s="246">
        <f t="shared" si="3"/>
        <v>1.5519999999999998</v>
      </c>
      <c r="G12" s="246">
        <f t="shared" si="3"/>
        <v>1.4720000000000002</v>
      </c>
      <c r="H12" s="246">
        <f t="shared" si="3"/>
        <v>16.32</v>
      </c>
      <c r="I12" s="246">
        <f t="shared" si="3"/>
        <v>157.12</v>
      </c>
      <c r="J12" s="246">
        <f t="shared" si="3"/>
        <v>30.400000000000002</v>
      </c>
      <c r="K12" s="246">
        <f t="shared" si="3"/>
        <v>5.904</v>
      </c>
      <c r="L12" s="246">
        <f t="shared" si="3"/>
        <v>17.855999999999998</v>
      </c>
      <c r="M12" s="276">
        <f t="shared" si="3"/>
        <v>0.35200000000000004</v>
      </c>
      <c r="N12" s="276">
        <f t="shared" si="3"/>
        <v>2.56</v>
      </c>
      <c r="O12" s="246">
        <f t="shared" si="3"/>
        <v>18.016</v>
      </c>
      <c r="P12" s="276">
        <f t="shared" si="3"/>
        <v>1.8079999999999998</v>
      </c>
    </row>
    <row r="13" spans="5:16" ht="12.75">
      <c r="E13" s="86"/>
      <c r="F13" s="86"/>
      <c r="G13" s="86"/>
      <c r="H13" s="86"/>
      <c r="I13" s="86"/>
      <c r="J13" s="86"/>
      <c r="K13" s="86"/>
      <c r="L13" s="86"/>
      <c r="M13" s="277"/>
      <c r="N13" s="277"/>
      <c r="O13" s="86"/>
      <c r="P13" s="275"/>
    </row>
    <row r="14" spans="1:16" ht="12.75">
      <c r="A14" t="s">
        <v>9</v>
      </c>
      <c r="B14" t="s">
        <v>10</v>
      </c>
      <c r="E14" s="105">
        <f aca="true" t="shared" si="4" ref="E14:P14">0.997*E10+0.942*E11+0.797*E12</f>
        <v>7.750639999999999</v>
      </c>
      <c r="F14" s="105">
        <f t="shared" si="4"/>
        <v>9.168439999999999</v>
      </c>
      <c r="G14" s="105">
        <f t="shared" si="4"/>
        <v>8.69584</v>
      </c>
      <c r="H14" s="105">
        <f t="shared" si="4"/>
        <v>96.4104</v>
      </c>
      <c r="I14" s="105">
        <f t="shared" si="4"/>
        <v>928.1863999999999</v>
      </c>
      <c r="J14" s="105">
        <f t="shared" si="4"/>
        <v>179.588</v>
      </c>
      <c r="K14" s="105">
        <f t="shared" si="4"/>
        <v>34.877880000000005</v>
      </c>
      <c r="L14" s="105">
        <f t="shared" si="4"/>
        <v>105.48432</v>
      </c>
      <c r="M14" s="278">
        <f t="shared" si="4"/>
        <v>2.07944</v>
      </c>
      <c r="N14" s="278">
        <f t="shared" si="4"/>
        <v>15.1232</v>
      </c>
      <c r="O14" s="105">
        <f t="shared" si="4"/>
        <v>106.42951999999998</v>
      </c>
      <c r="P14" s="278">
        <f t="shared" si="4"/>
        <v>10.68076</v>
      </c>
    </row>
    <row r="15" spans="1:16" ht="12.75">
      <c r="A15" t="s">
        <v>9</v>
      </c>
      <c r="B15" t="s">
        <v>11</v>
      </c>
      <c r="E15" s="248">
        <f aca="true" t="shared" si="5" ref="E15:P15">0.002*E10+0.018*E11+0.033*E12</f>
        <v>0.10430399999999998</v>
      </c>
      <c r="F15" s="248">
        <f t="shared" si="5"/>
        <v>0.12338399999999998</v>
      </c>
      <c r="G15" s="248">
        <f t="shared" si="5"/>
        <v>0.11702400000000002</v>
      </c>
      <c r="H15" s="248">
        <f t="shared" si="5"/>
        <v>1.29744</v>
      </c>
      <c r="I15" s="248">
        <f t="shared" si="5"/>
        <v>12.491039999999998</v>
      </c>
      <c r="J15" s="248">
        <f t="shared" si="5"/>
        <v>2.4168</v>
      </c>
      <c r="K15" s="248">
        <f t="shared" si="5"/>
        <v>0.46936799999999995</v>
      </c>
      <c r="L15" s="248">
        <f t="shared" si="5"/>
        <v>1.419552</v>
      </c>
      <c r="M15" s="279">
        <f t="shared" si="5"/>
        <v>0.027984000000000002</v>
      </c>
      <c r="N15" s="279">
        <f t="shared" si="5"/>
        <v>0.20351999999999998</v>
      </c>
      <c r="O15" s="248">
        <f t="shared" si="5"/>
        <v>1.4322719999999998</v>
      </c>
      <c r="P15" s="279">
        <f t="shared" si="5"/>
        <v>0.14373599999999997</v>
      </c>
    </row>
    <row r="16" spans="1:16" ht="12.75">
      <c r="A16" t="s">
        <v>9</v>
      </c>
      <c r="B16" t="s">
        <v>34</v>
      </c>
      <c r="E16" s="105">
        <f aca="true" t="shared" si="6" ref="E16:P16">0.0002*E10+0.028*E11+0.077*E12</f>
        <v>0.1844672</v>
      </c>
      <c r="F16" s="105">
        <f t="shared" si="6"/>
        <v>0.21821119999999997</v>
      </c>
      <c r="G16" s="105">
        <f t="shared" si="6"/>
        <v>0.2069632</v>
      </c>
      <c r="H16" s="105">
        <f t="shared" si="6"/>
        <v>2.2945919999999997</v>
      </c>
      <c r="I16" s="105">
        <f t="shared" si="6"/>
        <v>22.091072</v>
      </c>
      <c r="J16" s="105">
        <f t="shared" si="6"/>
        <v>4.27424</v>
      </c>
      <c r="K16" s="105">
        <f t="shared" si="6"/>
        <v>0.8301024</v>
      </c>
      <c r="L16" s="105">
        <f t="shared" si="6"/>
        <v>2.5105535999999997</v>
      </c>
      <c r="M16" s="278">
        <f t="shared" si="6"/>
        <v>0.049491200000000006</v>
      </c>
      <c r="N16" s="278">
        <f t="shared" si="6"/>
        <v>0.35993600000000003</v>
      </c>
      <c r="O16" s="105">
        <f t="shared" si="6"/>
        <v>2.5330495999999996</v>
      </c>
      <c r="P16" s="278">
        <f t="shared" si="6"/>
        <v>0.25420479999999995</v>
      </c>
    </row>
    <row r="17" spans="5:16" ht="12.75">
      <c r="E17" s="105"/>
      <c r="F17" s="105"/>
      <c r="G17" s="105"/>
      <c r="H17" s="105"/>
      <c r="I17" s="105"/>
      <c r="J17" s="105"/>
      <c r="K17" s="105"/>
      <c r="L17" s="105"/>
      <c r="M17" s="278"/>
      <c r="N17" s="278"/>
      <c r="O17" s="105"/>
      <c r="P17" s="278"/>
    </row>
    <row r="18" spans="1:16" ht="12.75">
      <c r="A18" t="s">
        <v>8</v>
      </c>
      <c r="B18" t="s">
        <v>12</v>
      </c>
      <c r="E18" s="249">
        <f aca="true" t="shared" si="7" ref="E18:P18">E14+E15</f>
        <v>7.854943999999999</v>
      </c>
      <c r="F18" s="249">
        <f t="shared" si="7"/>
        <v>9.291823999999998</v>
      </c>
      <c r="G18" s="249">
        <f t="shared" si="7"/>
        <v>8.812864000000001</v>
      </c>
      <c r="H18" s="249">
        <f t="shared" si="7"/>
        <v>97.70783999999999</v>
      </c>
      <c r="I18" s="249">
        <f t="shared" si="7"/>
        <v>940.6774399999999</v>
      </c>
      <c r="J18" s="249">
        <f t="shared" si="7"/>
        <v>182.0048</v>
      </c>
      <c r="K18" s="249">
        <f t="shared" si="7"/>
        <v>35.34724800000001</v>
      </c>
      <c r="L18" s="249">
        <f t="shared" si="7"/>
        <v>106.90387199999999</v>
      </c>
      <c r="M18" s="280">
        <f t="shared" si="7"/>
        <v>2.107424</v>
      </c>
      <c r="N18" s="280">
        <f t="shared" si="7"/>
        <v>15.32672</v>
      </c>
      <c r="O18" s="249">
        <f t="shared" si="7"/>
        <v>107.86179199999998</v>
      </c>
      <c r="P18" s="280">
        <f t="shared" si="7"/>
        <v>10.824496</v>
      </c>
    </row>
    <row r="19" spans="1:16" ht="12.75">
      <c r="A19" t="s">
        <v>8</v>
      </c>
      <c r="B19" t="s">
        <v>13</v>
      </c>
      <c r="E19" s="250">
        <f aca="true" t="shared" si="8" ref="E19:P19">E16</f>
        <v>0.1844672</v>
      </c>
      <c r="F19" s="250">
        <f t="shared" si="8"/>
        <v>0.21821119999999997</v>
      </c>
      <c r="G19" s="250">
        <f t="shared" si="8"/>
        <v>0.2069632</v>
      </c>
      <c r="H19" s="250">
        <f t="shared" si="8"/>
        <v>2.2945919999999997</v>
      </c>
      <c r="I19" s="250">
        <f t="shared" si="8"/>
        <v>22.091072</v>
      </c>
      <c r="J19" s="250">
        <f t="shared" si="8"/>
        <v>4.27424</v>
      </c>
      <c r="K19" s="250">
        <f t="shared" si="8"/>
        <v>0.8301024</v>
      </c>
      <c r="L19" s="250">
        <f t="shared" si="8"/>
        <v>2.5105535999999997</v>
      </c>
      <c r="M19" s="281">
        <f t="shared" si="8"/>
        <v>0.049491200000000006</v>
      </c>
      <c r="N19" s="281">
        <f t="shared" si="8"/>
        <v>0.35993600000000003</v>
      </c>
      <c r="O19" s="250">
        <f t="shared" si="8"/>
        <v>2.5330495999999996</v>
      </c>
      <c r="P19" s="281">
        <f t="shared" si="8"/>
        <v>0.25420479999999995</v>
      </c>
    </row>
    <row r="20" spans="5:16" ht="12.75">
      <c r="E20" s="247"/>
      <c r="F20" s="247"/>
      <c r="G20" s="247"/>
      <c r="H20" s="247"/>
      <c r="I20" s="247"/>
      <c r="J20" s="247"/>
      <c r="K20" s="247"/>
      <c r="L20" s="247"/>
      <c r="M20" s="275"/>
      <c r="N20" s="275"/>
      <c r="O20" s="247"/>
      <c r="P20" s="275"/>
    </row>
    <row r="21" spans="2:16" ht="12.75" hidden="1">
      <c r="B21" s="14" t="s">
        <v>14</v>
      </c>
      <c r="E21" s="86"/>
      <c r="F21" s="86"/>
      <c r="G21" s="86"/>
      <c r="H21" s="86"/>
      <c r="I21" s="86"/>
      <c r="J21" s="86"/>
      <c r="K21" s="86"/>
      <c r="L21" s="86"/>
      <c r="M21" s="277"/>
      <c r="N21" s="277"/>
      <c r="O21" s="86"/>
      <c r="P21" s="277"/>
    </row>
    <row r="22" spans="2:16" ht="12.75" hidden="1">
      <c r="B22" t="s">
        <v>15</v>
      </c>
      <c r="E22" s="86"/>
      <c r="F22" s="86"/>
      <c r="G22" s="86"/>
      <c r="H22" s="86"/>
      <c r="I22" s="86"/>
      <c r="J22" s="86"/>
      <c r="K22" s="86"/>
      <c r="L22" s="86"/>
      <c r="M22" s="277"/>
      <c r="N22" s="277"/>
      <c r="O22" s="86"/>
      <c r="P22" s="277"/>
    </row>
    <row r="23" spans="5:16" ht="12.75" hidden="1">
      <c r="E23" s="86"/>
      <c r="F23" s="86"/>
      <c r="G23" s="86"/>
      <c r="H23" s="86"/>
      <c r="I23" s="86"/>
      <c r="J23" s="86"/>
      <c r="K23" s="86"/>
      <c r="L23" s="86"/>
      <c r="M23" s="277"/>
      <c r="N23" s="277"/>
      <c r="O23" s="86"/>
      <c r="P23" s="277"/>
    </row>
    <row r="24" spans="2:16" ht="12.75" hidden="1">
      <c r="B24" s="14" t="s">
        <v>16</v>
      </c>
      <c r="E24" s="86"/>
      <c r="F24" s="86"/>
      <c r="G24" s="86"/>
      <c r="H24" s="86"/>
      <c r="I24" s="86"/>
      <c r="J24" s="86"/>
      <c r="K24" s="86"/>
      <c r="L24" s="86"/>
      <c r="M24" s="277"/>
      <c r="N24" s="277"/>
      <c r="O24" s="86"/>
      <c r="P24" s="277"/>
    </row>
    <row r="25" spans="2:16" ht="12.75" hidden="1">
      <c r="B25" t="s">
        <v>17</v>
      </c>
      <c r="E25" s="86">
        <v>2.25</v>
      </c>
      <c r="F25" s="86">
        <v>2.25</v>
      </c>
      <c r="G25" s="86">
        <v>2.25</v>
      </c>
      <c r="H25" s="86">
        <v>2.25</v>
      </c>
      <c r="I25" s="86">
        <v>2.25</v>
      </c>
      <c r="J25" s="86">
        <v>2.25</v>
      </c>
      <c r="K25" s="86">
        <v>2.25</v>
      </c>
      <c r="L25" s="86">
        <v>2.25</v>
      </c>
      <c r="M25" s="277">
        <v>2.25</v>
      </c>
      <c r="N25" s="277">
        <v>2.25</v>
      </c>
      <c r="O25" s="86">
        <v>2.25</v>
      </c>
      <c r="P25" s="277">
        <v>2.25</v>
      </c>
    </row>
    <row r="26" spans="2:16" ht="12.75" hidden="1">
      <c r="B26" t="s">
        <v>7</v>
      </c>
      <c r="E26" s="86">
        <v>0.001</v>
      </c>
      <c r="F26" s="86">
        <v>0.001</v>
      </c>
      <c r="G26" s="86">
        <v>0.001</v>
      </c>
      <c r="H26" s="86">
        <v>0.001</v>
      </c>
      <c r="I26" s="86">
        <v>0.001</v>
      </c>
      <c r="J26" s="86">
        <v>0.001</v>
      </c>
      <c r="K26" s="86">
        <v>0.001</v>
      </c>
      <c r="L26" s="86">
        <v>0.001</v>
      </c>
      <c r="M26" s="277">
        <v>0.001</v>
      </c>
      <c r="N26" s="277">
        <v>0.001</v>
      </c>
      <c r="O26" s="86">
        <v>0.001</v>
      </c>
      <c r="P26" s="277">
        <v>0.001</v>
      </c>
    </row>
    <row r="27" spans="5:16" ht="12.75" hidden="1">
      <c r="E27" s="86"/>
      <c r="F27" s="86"/>
      <c r="G27" s="86"/>
      <c r="H27" s="86"/>
      <c r="I27" s="86"/>
      <c r="J27" s="86"/>
      <c r="K27" s="86"/>
      <c r="L27" s="86"/>
      <c r="M27" s="277"/>
      <c r="N27" s="277"/>
      <c r="O27" s="86"/>
      <c r="P27" s="277"/>
    </row>
    <row r="28" spans="5:16" ht="12.75" hidden="1">
      <c r="E28" s="86"/>
      <c r="F28" s="86"/>
      <c r="G28" s="86"/>
      <c r="H28" s="86"/>
      <c r="I28" s="86"/>
      <c r="J28" s="86"/>
      <c r="K28" s="86"/>
      <c r="L28" s="86"/>
      <c r="M28" s="277"/>
      <c r="N28" s="277"/>
      <c r="O28" s="86"/>
      <c r="P28" s="277"/>
    </row>
    <row r="29" spans="5:16" ht="12.75" hidden="1">
      <c r="E29" s="86"/>
      <c r="F29" s="86"/>
      <c r="G29" s="86"/>
      <c r="H29" s="86"/>
      <c r="I29" s="86"/>
      <c r="J29" s="86"/>
      <c r="K29" s="86"/>
      <c r="L29" s="86"/>
      <c r="M29" s="277"/>
      <c r="N29" s="277"/>
      <c r="O29" s="86"/>
      <c r="P29" s="277"/>
    </row>
    <row r="30" spans="2:16" ht="12.75" hidden="1">
      <c r="B30" t="s">
        <v>18</v>
      </c>
      <c r="E30" s="251">
        <f aca="true" t="shared" si="9" ref="E30:M30">E19+H26</f>
        <v>0.1854672</v>
      </c>
      <c r="F30" s="251">
        <f t="shared" si="9"/>
        <v>0.21921119999999997</v>
      </c>
      <c r="G30" s="251">
        <f t="shared" si="9"/>
        <v>0.20796320000000001</v>
      </c>
      <c r="H30" s="251">
        <f t="shared" si="9"/>
        <v>2.2955919999999996</v>
      </c>
      <c r="I30" s="251">
        <f t="shared" si="9"/>
        <v>22.092072</v>
      </c>
      <c r="J30" s="251">
        <f t="shared" si="9"/>
        <v>4.27524</v>
      </c>
      <c r="K30" s="251">
        <f t="shared" si="9"/>
        <v>0.8311024</v>
      </c>
      <c r="L30" s="251">
        <f t="shared" si="9"/>
        <v>2.5115535999999996</v>
      </c>
      <c r="M30" s="282">
        <f t="shared" si="9"/>
        <v>0.05049120000000001</v>
      </c>
      <c r="N30" s="282">
        <f>N19+R26</f>
        <v>0.35993600000000003</v>
      </c>
      <c r="O30" s="251">
        <f>O19+T26</f>
        <v>2.5330495999999996</v>
      </c>
      <c r="P30" s="282">
        <f>P19+V26</f>
        <v>0.25420479999999995</v>
      </c>
    </row>
    <row r="31" spans="2:16" ht="12.75" hidden="1">
      <c r="B31" t="s">
        <v>19</v>
      </c>
      <c r="E31" s="252">
        <f aca="true" t="shared" si="10" ref="E31:M31">E18+H25</f>
        <v>10.104944</v>
      </c>
      <c r="F31" s="252">
        <f t="shared" si="10"/>
        <v>11.541823999999998</v>
      </c>
      <c r="G31" s="252">
        <f t="shared" si="10"/>
        <v>11.062864000000001</v>
      </c>
      <c r="H31" s="252">
        <f t="shared" si="10"/>
        <v>99.95783999999999</v>
      </c>
      <c r="I31" s="252">
        <f t="shared" si="10"/>
        <v>942.9274399999999</v>
      </c>
      <c r="J31" s="252">
        <f t="shared" si="10"/>
        <v>184.2548</v>
      </c>
      <c r="K31" s="252">
        <f t="shared" si="10"/>
        <v>37.59724800000001</v>
      </c>
      <c r="L31" s="252">
        <f t="shared" si="10"/>
        <v>109.15387199999999</v>
      </c>
      <c r="M31" s="283">
        <f t="shared" si="10"/>
        <v>4.357424</v>
      </c>
      <c r="N31" s="283">
        <f>N18+R25</f>
        <v>15.32672</v>
      </c>
      <c r="O31" s="252">
        <f>O18+T25</f>
        <v>107.86179199999998</v>
      </c>
      <c r="P31" s="283">
        <f>P18+V25</f>
        <v>10.824496</v>
      </c>
    </row>
    <row r="32" spans="2:16" ht="12.75" hidden="1">
      <c r="B32" t="s">
        <v>20</v>
      </c>
      <c r="E32" s="253">
        <f aca="true" t="shared" si="11" ref="E32:M32">H22</f>
        <v>0</v>
      </c>
      <c r="F32" s="253">
        <f t="shared" si="11"/>
        <v>0</v>
      </c>
      <c r="G32" s="253">
        <f t="shared" si="11"/>
        <v>0</v>
      </c>
      <c r="H32" s="253">
        <f t="shared" si="11"/>
        <v>0</v>
      </c>
      <c r="I32" s="253">
        <f t="shared" si="11"/>
        <v>0</v>
      </c>
      <c r="J32" s="253">
        <f t="shared" si="11"/>
        <v>0</v>
      </c>
      <c r="K32" s="253">
        <f t="shared" si="11"/>
        <v>0</v>
      </c>
      <c r="L32" s="253">
        <f t="shared" si="11"/>
        <v>0</v>
      </c>
      <c r="M32" s="284">
        <f t="shared" si="11"/>
        <v>0</v>
      </c>
      <c r="N32" s="284">
        <f>R22</f>
        <v>0</v>
      </c>
      <c r="O32" s="253">
        <f>T22</f>
        <v>0</v>
      </c>
      <c r="P32" s="284">
        <f>V22</f>
        <v>0</v>
      </c>
    </row>
    <row r="33" spans="5:16" ht="12.75" hidden="1">
      <c r="E33" s="86"/>
      <c r="F33" s="86"/>
      <c r="G33" s="86"/>
      <c r="H33" s="86"/>
      <c r="I33" s="86"/>
      <c r="J33" s="86"/>
      <c r="K33" s="86"/>
      <c r="L33" s="86"/>
      <c r="M33" s="277"/>
      <c r="N33" s="277"/>
      <c r="O33" s="86"/>
      <c r="P33" s="277"/>
    </row>
    <row r="34" spans="5:16" ht="12.75" hidden="1">
      <c r="E34" s="86"/>
      <c r="F34" s="86"/>
      <c r="G34" s="86"/>
      <c r="H34" s="86"/>
      <c r="I34" s="86"/>
      <c r="J34" s="86"/>
      <c r="K34" s="86"/>
      <c r="L34" s="86"/>
      <c r="M34" s="277"/>
      <c r="N34" s="277"/>
      <c r="O34" s="86"/>
      <c r="P34" s="277"/>
    </row>
    <row r="35" spans="5:16" ht="12.75" hidden="1">
      <c r="E35" s="247"/>
      <c r="F35" s="247"/>
      <c r="G35" s="247"/>
      <c r="H35" s="247"/>
      <c r="I35" s="247"/>
      <c r="J35" s="247"/>
      <c r="K35" s="247"/>
      <c r="L35" s="247"/>
      <c r="M35" s="275"/>
      <c r="N35" s="275"/>
      <c r="O35" s="247"/>
      <c r="P35" s="275"/>
    </row>
    <row r="36" spans="5:16" ht="12.75" hidden="1">
      <c r="E36" s="247"/>
      <c r="F36" s="247"/>
      <c r="G36" s="247"/>
      <c r="H36" s="247"/>
      <c r="I36" s="247"/>
      <c r="J36" s="247"/>
      <c r="K36" s="247"/>
      <c r="L36" s="247"/>
      <c r="M36" s="275"/>
      <c r="N36" s="275"/>
      <c r="O36" s="247"/>
      <c r="P36" s="275"/>
    </row>
    <row r="37" spans="2:16" ht="12.75" hidden="1">
      <c r="B37" s="14" t="s">
        <v>21</v>
      </c>
      <c r="E37" s="247"/>
      <c r="F37" s="247"/>
      <c r="G37" s="247"/>
      <c r="H37" s="247"/>
      <c r="I37" s="247"/>
      <c r="J37" s="247"/>
      <c r="K37" s="247"/>
      <c r="L37" s="247"/>
      <c r="M37" s="275"/>
      <c r="N37" s="275"/>
      <c r="O37" s="247"/>
      <c r="P37" s="275"/>
    </row>
    <row r="38" spans="2:16" ht="12.75" hidden="1">
      <c r="B38" s="18" t="e">
        <f>63.2-15*LN(#REF!)</f>
        <v>#REF!</v>
      </c>
      <c r="E38" s="247"/>
      <c r="F38" s="247"/>
      <c r="G38" s="247"/>
      <c r="H38" s="247"/>
      <c r="I38" s="247"/>
      <c r="J38" s="247"/>
      <c r="K38" s="247"/>
      <c r="L38" s="247"/>
      <c r="M38" s="275"/>
      <c r="N38" s="275"/>
      <c r="O38" s="247"/>
      <c r="P38" s="275"/>
    </row>
    <row r="39" spans="1:16" ht="12.75" hidden="1">
      <c r="A39" t="e">
        <f>-0.1167*#REF!</f>
        <v>#REF!</v>
      </c>
      <c r="B39" s="18" t="e">
        <f>72.9*EXP(A39)</f>
        <v>#REF!</v>
      </c>
      <c r="E39" s="247"/>
      <c r="F39" s="247"/>
      <c r="G39" s="247"/>
      <c r="H39" s="247"/>
      <c r="I39" s="247"/>
      <c r="J39" s="247"/>
      <c r="K39" s="247"/>
      <c r="L39" s="247"/>
      <c r="M39" s="275"/>
      <c r="N39" s="275"/>
      <c r="O39" s="247"/>
      <c r="P39" s="275"/>
    </row>
    <row r="40" spans="2:16" ht="12.75" hidden="1">
      <c r="B40" s="18" t="e">
        <f>AVERAGE(B38:B39)</f>
        <v>#REF!</v>
      </c>
      <c r="E40" s="247"/>
      <c r="F40" s="247"/>
      <c r="G40" s="247"/>
      <c r="H40" s="247"/>
      <c r="I40" s="247"/>
      <c r="J40" s="247"/>
      <c r="K40" s="247"/>
      <c r="L40" s="247"/>
      <c r="M40" s="275"/>
      <c r="N40" s="275"/>
      <c r="O40" s="247"/>
      <c r="P40" s="275"/>
    </row>
    <row r="41" spans="2:16" ht="12.75">
      <c r="B41" s="18"/>
      <c r="E41" s="254">
        <f aca="true" t="shared" si="12" ref="E41:P41">63.2-15*LN(E18)</f>
        <v>32.28285286302332</v>
      </c>
      <c r="F41" s="254">
        <f t="shared" si="12"/>
        <v>29.76297689443637</v>
      </c>
      <c r="G41" s="254">
        <f t="shared" si="12"/>
        <v>30.55681291625151</v>
      </c>
      <c r="H41" s="254">
        <f t="shared" si="12"/>
        <v>-5.529727022187643</v>
      </c>
      <c r="I41" s="254">
        <f t="shared" si="12"/>
        <v>-39.499004448240555</v>
      </c>
      <c r="J41" s="254">
        <f t="shared" si="12"/>
        <v>-14.860495905330865</v>
      </c>
      <c r="K41" s="254">
        <f t="shared" si="12"/>
        <v>9.721691911379203</v>
      </c>
      <c r="L41" s="254">
        <f t="shared" si="12"/>
        <v>-6.878950572131728</v>
      </c>
      <c r="M41" s="285">
        <f t="shared" si="12"/>
        <v>52.018004771612375</v>
      </c>
      <c r="N41" s="285">
        <f t="shared" si="12"/>
        <v>22.256034343479712</v>
      </c>
      <c r="O41" s="254">
        <f t="shared" si="12"/>
        <v>-7.0127605585074235</v>
      </c>
      <c r="P41" s="285">
        <f t="shared" si="12"/>
        <v>27.47282429130201</v>
      </c>
    </row>
    <row r="42" spans="2:16" ht="12.75">
      <c r="B42" s="18"/>
      <c r="E42" s="254">
        <f aca="true" t="shared" si="13" ref="E42:P42">-0.1167*(E18)</f>
        <v>-0.9166719647999998</v>
      </c>
      <c r="F42" s="254">
        <f t="shared" si="13"/>
        <v>-1.0843558607999997</v>
      </c>
      <c r="G42" s="254">
        <f t="shared" si="13"/>
        <v>-1.0284612288000001</v>
      </c>
      <c r="H42" s="254">
        <f t="shared" si="13"/>
        <v>-11.402504927999999</v>
      </c>
      <c r="I42" s="254">
        <f t="shared" si="13"/>
        <v>-109.77705724799999</v>
      </c>
      <c r="J42" s="254">
        <f t="shared" si="13"/>
        <v>-21.23996016</v>
      </c>
      <c r="K42" s="254">
        <f t="shared" si="13"/>
        <v>-4.125023841600001</v>
      </c>
      <c r="L42" s="254">
        <f t="shared" si="13"/>
        <v>-12.475681862399998</v>
      </c>
      <c r="M42" s="285">
        <f t="shared" si="13"/>
        <v>-0.2459363808</v>
      </c>
      <c r="N42" s="285">
        <f t="shared" si="13"/>
        <v>-1.788628224</v>
      </c>
      <c r="O42" s="254">
        <f t="shared" si="13"/>
        <v>-12.587471126399997</v>
      </c>
      <c r="P42" s="285">
        <f t="shared" si="13"/>
        <v>-1.2632186831999999</v>
      </c>
    </row>
    <row r="43" spans="2:16" ht="12.75">
      <c r="B43" s="18"/>
      <c r="E43" s="254">
        <f aca="true" t="shared" si="14" ref="E43:P43">72.9*EXP(E42)</f>
        <v>29.14888536664908</v>
      </c>
      <c r="F43" s="254">
        <f t="shared" si="14"/>
        <v>24.648912409937424</v>
      </c>
      <c r="G43" s="254">
        <f t="shared" si="14"/>
        <v>26.065886016396412</v>
      </c>
      <c r="H43" s="254">
        <f t="shared" si="14"/>
        <v>0.0008141090043205854</v>
      </c>
      <c r="I43" s="254">
        <f t="shared" si="14"/>
        <v>1.538711947527999E-46</v>
      </c>
      <c r="J43" s="254">
        <f t="shared" si="14"/>
        <v>4.348405486028698E-08</v>
      </c>
      <c r="K43" s="254">
        <f t="shared" si="14"/>
        <v>1.178290662807739</v>
      </c>
      <c r="L43" s="254">
        <f t="shared" si="14"/>
        <v>0.0002783605830540899</v>
      </c>
      <c r="M43" s="285">
        <f t="shared" si="14"/>
        <v>57.00575674234646</v>
      </c>
      <c r="N43" s="285">
        <f t="shared" si="14"/>
        <v>12.188104255271227</v>
      </c>
      <c r="O43" s="254">
        <f t="shared" si="14"/>
        <v>0.0002489191314892352</v>
      </c>
      <c r="P43" s="285">
        <f t="shared" si="14"/>
        <v>20.61192838061049</v>
      </c>
    </row>
    <row r="44" spans="2:16" ht="12.75">
      <c r="B44" s="18"/>
      <c r="C44" s="14" t="s">
        <v>23</v>
      </c>
      <c r="E44" s="255">
        <f>AVERAGE(E41,E43)</f>
        <v>30.715869114836202</v>
      </c>
      <c r="F44" s="255">
        <f>AVERAGE(F41,F43)</f>
        <v>27.205944652186897</v>
      </c>
      <c r="G44" s="255">
        <f>AVERAGE(G41,G43)</f>
        <v>28.31134946632396</v>
      </c>
      <c r="H44" s="255">
        <v>20</v>
      </c>
      <c r="I44" s="255">
        <v>20</v>
      </c>
      <c r="J44" s="255">
        <v>20</v>
      </c>
      <c r="K44" s="255">
        <v>20</v>
      </c>
      <c r="L44" s="255">
        <v>20</v>
      </c>
      <c r="M44" s="286">
        <f>AVERAGE(M41,M43)</f>
        <v>54.51188075697942</v>
      </c>
      <c r="N44" s="286">
        <v>20</v>
      </c>
      <c r="O44" s="255">
        <v>20</v>
      </c>
      <c r="P44" s="286">
        <f>AVERAGE(P41,P43)</f>
        <v>24.04237633595625</v>
      </c>
    </row>
    <row r="45" spans="5:16" ht="12.75">
      <c r="E45" s="247"/>
      <c r="F45" s="247"/>
      <c r="G45" s="247"/>
      <c r="H45" s="247"/>
      <c r="I45" s="247"/>
      <c r="J45" s="247"/>
      <c r="K45" s="247"/>
      <c r="L45" s="247"/>
      <c r="M45" s="275"/>
      <c r="N45" s="275"/>
      <c r="O45" s="247"/>
      <c r="P45" s="275"/>
    </row>
    <row r="46" spans="2:16" ht="41.25" customHeight="1">
      <c r="B46" s="19" t="s">
        <v>22</v>
      </c>
      <c r="D46" s="19"/>
      <c r="E46" s="247"/>
      <c r="F46" s="273"/>
      <c r="G46" s="273"/>
      <c r="H46" s="273"/>
      <c r="I46" s="273"/>
      <c r="J46" s="273"/>
      <c r="K46" s="273"/>
      <c r="L46" s="273"/>
      <c r="M46" s="287"/>
      <c r="N46" s="287"/>
      <c r="O46" s="273"/>
      <c r="P46" s="287"/>
    </row>
    <row r="47" spans="1:16" ht="12.75">
      <c r="A47" t="s">
        <v>8</v>
      </c>
      <c r="B47" t="s">
        <v>38</v>
      </c>
      <c r="D47" s="20"/>
      <c r="E47" s="250">
        <f aca="true" t="shared" si="15" ref="E47:P47">E19*100/100</f>
        <v>0.1844672</v>
      </c>
      <c r="F47" s="250">
        <f t="shared" si="15"/>
        <v>0.21821119999999997</v>
      </c>
      <c r="G47" s="250">
        <f t="shared" si="15"/>
        <v>0.2069632</v>
      </c>
      <c r="H47" s="250">
        <f t="shared" si="15"/>
        <v>2.2945919999999997</v>
      </c>
      <c r="I47" s="250">
        <f t="shared" si="15"/>
        <v>22.091072</v>
      </c>
      <c r="J47" s="250">
        <f t="shared" si="15"/>
        <v>4.27424</v>
      </c>
      <c r="K47" s="250">
        <f t="shared" si="15"/>
        <v>0.8301023999999999</v>
      </c>
      <c r="L47" s="250">
        <f t="shared" si="15"/>
        <v>2.5105535999999997</v>
      </c>
      <c r="M47" s="281">
        <f t="shared" si="15"/>
        <v>0.049491200000000006</v>
      </c>
      <c r="N47" s="281">
        <f t="shared" si="15"/>
        <v>0.35993600000000003</v>
      </c>
      <c r="O47" s="250">
        <f t="shared" si="15"/>
        <v>2.5330495999999996</v>
      </c>
      <c r="P47" s="281">
        <f t="shared" si="15"/>
        <v>0.25420479999999995</v>
      </c>
    </row>
    <row r="48" spans="1:16" ht="12.75">
      <c r="A48" t="s">
        <v>8</v>
      </c>
      <c r="B48" t="s">
        <v>24</v>
      </c>
      <c r="D48" s="21"/>
      <c r="E48" s="249">
        <f aca="true" t="shared" si="16" ref="E48:P48">E18*E44/100</f>
        <v>2.412714318083679</v>
      </c>
      <c r="F48" s="249">
        <f t="shared" si="16"/>
        <v>2.5279284946186182</v>
      </c>
      <c r="G48" s="249">
        <f t="shared" si="16"/>
        <v>2.4950407250318567</v>
      </c>
      <c r="H48" s="249">
        <f t="shared" si="16"/>
        <v>19.541567999999998</v>
      </c>
      <c r="I48" s="249">
        <f t="shared" si="16"/>
        <v>188.13548799999998</v>
      </c>
      <c r="J48" s="249">
        <f t="shared" si="16"/>
        <v>36.40096</v>
      </c>
      <c r="K48" s="249">
        <f t="shared" si="16"/>
        <v>7.069449600000001</v>
      </c>
      <c r="L48" s="249">
        <f t="shared" si="16"/>
        <v>21.3807744</v>
      </c>
      <c r="M48" s="280">
        <f t="shared" si="16"/>
        <v>1.148796457923966</v>
      </c>
      <c r="N48" s="280">
        <f t="shared" si="16"/>
        <v>3.065344</v>
      </c>
      <c r="O48" s="249">
        <f t="shared" si="16"/>
        <v>21.572358399999995</v>
      </c>
      <c r="P48" s="280">
        <f t="shared" si="16"/>
        <v>2.602466064790531</v>
      </c>
    </row>
    <row r="49" spans="2:16" ht="12.75">
      <c r="B49" t="s">
        <v>25</v>
      </c>
      <c r="E49" s="105">
        <f aca="true" t="shared" si="17" ref="E49:P49">SUM(E47:E48)</f>
        <v>2.597181518083679</v>
      </c>
      <c r="F49" s="105">
        <f t="shared" si="17"/>
        <v>2.746139694618618</v>
      </c>
      <c r="G49" s="105">
        <f t="shared" si="17"/>
        <v>2.702003925031857</v>
      </c>
      <c r="H49" s="105">
        <f t="shared" si="17"/>
        <v>21.83616</v>
      </c>
      <c r="I49" s="105">
        <f t="shared" si="17"/>
        <v>210.22655999999998</v>
      </c>
      <c r="J49" s="105">
        <f t="shared" si="17"/>
        <v>40.6752</v>
      </c>
      <c r="K49" s="105">
        <f t="shared" si="17"/>
        <v>7.899552000000002</v>
      </c>
      <c r="L49" s="105">
        <f t="shared" si="17"/>
        <v>23.891328</v>
      </c>
      <c r="M49" s="278">
        <f t="shared" si="17"/>
        <v>1.198287657923966</v>
      </c>
      <c r="N49" s="278">
        <f t="shared" si="17"/>
        <v>3.42528</v>
      </c>
      <c r="O49" s="105">
        <f t="shared" si="17"/>
        <v>24.105407999999994</v>
      </c>
      <c r="P49" s="278">
        <f t="shared" si="17"/>
        <v>2.856670864790531</v>
      </c>
    </row>
    <row r="50" spans="1:16" ht="12.75">
      <c r="A50" s="71" t="s">
        <v>52</v>
      </c>
      <c r="E50" s="248">
        <f aca="true" t="shared" si="18" ref="E50:P50">E49*(240/365)/70</f>
        <v>0.024396225610179373</v>
      </c>
      <c r="F50" s="248">
        <f t="shared" si="18"/>
        <v>0.025795441358452773</v>
      </c>
      <c r="G50" s="248">
        <f t="shared" si="18"/>
        <v>0.025380858786992002</v>
      </c>
      <c r="H50" s="248">
        <f t="shared" si="18"/>
        <v>0.205114614481409</v>
      </c>
      <c r="I50" s="248">
        <f t="shared" si="18"/>
        <v>1.9747308962818002</v>
      </c>
      <c r="J50" s="248">
        <f t="shared" si="18"/>
        <v>0.38207624266144813</v>
      </c>
      <c r="K50" s="248">
        <f t="shared" si="18"/>
        <v>0.07420322818003916</v>
      </c>
      <c r="L50" s="248">
        <f t="shared" si="18"/>
        <v>0.2244195193737769</v>
      </c>
      <c r="M50" s="279">
        <f t="shared" si="18"/>
        <v>0.011255931033336667</v>
      </c>
      <c r="N50" s="279">
        <f t="shared" si="18"/>
        <v>0.03217484148727984</v>
      </c>
      <c r="O50" s="248">
        <f t="shared" si="18"/>
        <v>0.22643044696673184</v>
      </c>
      <c r="P50" s="279">
        <f t="shared" si="18"/>
        <v>0.02683369892562534</v>
      </c>
    </row>
    <row r="51" spans="5:16" ht="12.75">
      <c r="E51" s="247"/>
      <c r="F51" s="247"/>
      <c r="G51" s="247"/>
      <c r="H51" s="247"/>
      <c r="I51" s="247"/>
      <c r="J51" s="247"/>
      <c r="K51" s="247"/>
      <c r="L51" s="247"/>
      <c r="M51" s="275"/>
      <c r="N51" s="275"/>
      <c r="O51" s="247"/>
      <c r="P51" s="275"/>
    </row>
    <row r="52" spans="2:16" ht="12.75">
      <c r="B52" s="6" t="s">
        <v>14</v>
      </c>
      <c r="E52" s="247"/>
      <c r="F52" s="247"/>
      <c r="G52" s="247"/>
      <c r="H52" s="247"/>
      <c r="I52" s="247"/>
      <c r="J52" s="247"/>
      <c r="K52" s="247"/>
      <c r="L52" s="247"/>
      <c r="M52" s="275"/>
      <c r="N52" s="275"/>
      <c r="O52" s="247"/>
      <c r="P52" s="275"/>
    </row>
    <row r="53" spans="1:16" ht="12.75">
      <c r="A53" t="s">
        <v>8</v>
      </c>
      <c r="B53" t="s">
        <v>26</v>
      </c>
      <c r="E53" s="253">
        <v>952</v>
      </c>
      <c r="F53" s="253">
        <v>952</v>
      </c>
      <c r="G53" s="253">
        <v>952</v>
      </c>
      <c r="H53" s="253">
        <v>952</v>
      </c>
      <c r="I53" s="253">
        <v>952</v>
      </c>
      <c r="J53" s="253">
        <v>952</v>
      </c>
      <c r="K53" s="253">
        <v>952</v>
      </c>
      <c r="L53" s="253">
        <v>952</v>
      </c>
      <c r="M53" s="284">
        <v>952</v>
      </c>
      <c r="N53" s="284">
        <v>952</v>
      </c>
      <c r="O53" s="253">
        <v>952</v>
      </c>
      <c r="P53" s="284">
        <v>952</v>
      </c>
    </row>
    <row r="54" spans="1:16" ht="12.75">
      <c r="A54" t="s">
        <v>8</v>
      </c>
      <c r="B54" t="s">
        <v>27</v>
      </c>
      <c r="E54" s="256">
        <f aca="true" t="shared" si="19" ref="E54:P54">E53*0.03/100</f>
        <v>0.28559999999999997</v>
      </c>
      <c r="F54" s="256">
        <f t="shared" si="19"/>
        <v>0.28559999999999997</v>
      </c>
      <c r="G54" s="256">
        <f t="shared" si="19"/>
        <v>0.28559999999999997</v>
      </c>
      <c r="H54" s="256">
        <f t="shared" si="19"/>
        <v>0.28559999999999997</v>
      </c>
      <c r="I54" s="256">
        <f t="shared" si="19"/>
        <v>0.28559999999999997</v>
      </c>
      <c r="J54" s="256">
        <f t="shared" si="19"/>
        <v>0.28559999999999997</v>
      </c>
      <c r="K54" s="256">
        <f t="shared" si="19"/>
        <v>0.28559999999999997</v>
      </c>
      <c r="L54" s="256">
        <f t="shared" si="19"/>
        <v>0.28559999999999997</v>
      </c>
      <c r="M54" s="323">
        <f t="shared" si="19"/>
        <v>0.28559999999999997</v>
      </c>
      <c r="N54" s="323">
        <f t="shared" si="19"/>
        <v>0.28559999999999997</v>
      </c>
      <c r="O54" s="256">
        <f t="shared" si="19"/>
        <v>0.28559999999999997</v>
      </c>
      <c r="P54" s="323">
        <f t="shared" si="19"/>
        <v>0.28559999999999997</v>
      </c>
    </row>
    <row r="55" spans="1:16" ht="12.75">
      <c r="A55" s="71" t="s">
        <v>52</v>
      </c>
      <c r="E55" s="274">
        <f aca="true" t="shared" si="20" ref="E55:P55">E54*(240/365)/70</f>
        <v>0.0026827397260273966</v>
      </c>
      <c r="F55" s="274">
        <f t="shared" si="20"/>
        <v>0.0026827397260273966</v>
      </c>
      <c r="G55" s="274">
        <f t="shared" si="20"/>
        <v>0.0026827397260273966</v>
      </c>
      <c r="H55" s="274">
        <f t="shared" si="20"/>
        <v>0.0026827397260273966</v>
      </c>
      <c r="I55" s="274">
        <f t="shared" si="20"/>
        <v>0.0026827397260273966</v>
      </c>
      <c r="J55" s="274">
        <f t="shared" si="20"/>
        <v>0.0026827397260273966</v>
      </c>
      <c r="K55" s="274">
        <f t="shared" si="20"/>
        <v>0.0026827397260273966</v>
      </c>
      <c r="L55" s="274">
        <f t="shared" si="20"/>
        <v>0.0026827397260273966</v>
      </c>
      <c r="M55" s="289">
        <f t="shared" si="20"/>
        <v>0.0026827397260273966</v>
      </c>
      <c r="N55" s="289">
        <f t="shared" si="20"/>
        <v>0.0026827397260273966</v>
      </c>
      <c r="O55" s="274">
        <f t="shared" si="20"/>
        <v>0.0026827397260273966</v>
      </c>
      <c r="P55" s="289">
        <f t="shared" si="20"/>
        <v>0.0026827397260273966</v>
      </c>
    </row>
    <row r="56" spans="1:16" ht="12.75">
      <c r="A56" s="71"/>
      <c r="E56" s="259"/>
      <c r="F56" s="259"/>
      <c r="G56" s="259"/>
      <c r="H56" s="259"/>
      <c r="I56" s="259"/>
      <c r="J56" s="259"/>
      <c r="K56" s="259"/>
      <c r="L56" s="259"/>
      <c r="M56" s="290"/>
      <c r="N56" s="290"/>
      <c r="O56" s="259"/>
      <c r="P56" s="290"/>
    </row>
    <row r="57" spans="1:16" ht="13.5" thickBot="1">
      <c r="A57" s="71"/>
      <c r="B57" s="6" t="s">
        <v>54</v>
      </c>
      <c r="E57" s="259"/>
      <c r="F57" s="259"/>
      <c r="G57" s="259"/>
      <c r="H57" s="259"/>
      <c r="I57" s="259"/>
      <c r="J57" s="259"/>
      <c r="K57" s="259"/>
      <c r="L57" s="259"/>
      <c r="M57" s="290"/>
      <c r="N57" s="290"/>
      <c r="O57" s="259"/>
      <c r="P57" s="290"/>
    </row>
    <row r="58" spans="1:16" ht="39.75" customHeight="1">
      <c r="A58" s="185" t="s">
        <v>8</v>
      </c>
      <c r="B58" s="333" t="s">
        <v>28</v>
      </c>
      <c r="C58" s="333"/>
      <c r="D58" s="333"/>
      <c r="E58" s="261">
        <f aca="true" t="shared" si="21" ref="E58:P58">(E47+E48+E54)*240/365</f>
        <v>1.8955275735344739</v>
      </c>
      <c r="F58" s="261">
        <f t="shared" si="21"/>
        <v>1.993472675913612</v>
      </c>
      <c r="G58" s="261">
        <f t="shared" si="21"/>
        <v>1.964451895911358</v>
      </c>
      <c r="H58" s="261">
        <f t="shared" si="21"/>
        <v>14.545814794520547</v>
      </c>
      <c r="I58" s="261">
        <f t="shared" si="21"/>
        <v>138.41895452054794</v>
      </c>
      <c r="J58" s="261">
        <f t="shared" si="21"/>
        <v>26.93312876712329</v>
      </c>
      <c r="K58" s="261">
        <f t="shared" si="21"/>
        <v>5.382017753424659</v>
      </c>
      <c r="L58" s="261">
        <f t="shared" si="21"/>
        <v>15.897158136986302</v>
      </c>
      <c r="M58" s="291">
        <f t="shared" si="21"/>
        <v>0.9757069531554846</v>
      </c>
      <c r="N58" s="291">
        <f t="shared" si="21"/>
        <v>2.4400306849315068</v>
      </c>
      <c r="O58" s="261">
        <f t="shared" si="21"/>
        <v>16.037923068493146</v>
      </c>
      <c r="P58" s="291">
        <f t="shared" si="21"/>
        <v>2.0661507056156916</v>
      </c>
    </row>
    <row r="59" spans="1:16" ht="12.75">
      <c r="A59" s="178" t="s">
        <v>39</v>
      </c>
      <c r="B59" s="23"/>
      <c r="C59" s="23"/>
      <c r="D59" s="23"/>
      <c r="E59" s="262">
        <f aca="true" t="shared" si="22" ref="E59:P59">E58/70</f>
        <v>0.02707896533620677</v>
      </c>
      <c r="F59" s="262">
        <f t="shared" si="22"/>
        <v>0.028478181084480175</v>
      </c>
      <c r="G59" s="262">
        <f t="shared" si="22"/>
        <v>0.0280635985130194</v>
      </c>
      <c r="H59" s="262">
        <f t="shared" si="22"/>
        <v>0.2077973542074364</v>
      </c>
      <c r="I59" s="262">
        <f t="shared" si="22"/>
        <v>1.9774136360078278</v>
      </c>
      <c r="J59" s="262">
        <f t="shared" si="22"/>
        <v>0.3847589823874756</v>
      </c>
      <c r="K59" s="262">
        <f t="shared" si="22"/>
        <v>0.07688596790606655</v>
      </c>
      <c r="L59" s="262">
        <f t="shared" si="22"/>
        <v>0.22710225909980433</v>
      </c>
      <c r="M59" s="293">
        <f t="shared" si="22"/>
        <v>0.013938670759364067</v>
      </c>
      <c r="N59" s="293">
        <f t="shared" si="22"/>
        <v>0.03485758121330724</v>
      </c>
      <c r="O59" s="262">
        <f t="shared" si="22"/>
        <v>0.22911318669275924</v>
      </c>
      <c r="P59" s="293">
        <f t="shared" si="22"/>
        <v>0.029516438651652738</v>
      </c>
    </row>
    <row r="60" spans="1:16" ht="13.5" thickBot="1">
      <c r="A60" s="37"/>
      <c r="B60" s="39"/>
      <c r="C60" s="38" t="s">
        <v>40</v>
      </c>
      <c r="D60" s="39"/>
      <c r="E60" s="263">
        <f aca="true" t="shared" si="23" ref="E60:P60">4.075/E59</f>
        <v>150.48580879681526</v>
      </c>
      <c r="F60" s="263">
        <f t="shared" si="23"/>
        <v>143.0920039419499</v>
      </c>
      <c r="G60" s="263">
        <f t="shared" si="23"/>
        <v>145.20589717350418</v>
      </c>
      <c r="H60" s="263">
        <f t="shared" si="23"/>
        <v>19.61045180552241</v>
      </c>
      <c r="I60" s="263">
        <f t="shared" si="23"/>
        <v>2.0607726809383995</v>
      </c>
      <c r="J60" s="263">
        <f t="shared" si="23"/>
        <v>10.591045788493714</v>
      </c>
      <c r="K60" s="263">
        <f t="shared" si="23"/>
        <v>53.00056838691978</v>
      </c>
      <c r="L60" s="263">
        <f t="shared" si="23"/>
        <v>17.943458669907663</v>
      </c>
      <c r="M60" s="295">
        <f t="shared" si="23"/>
        <v>292.35212383952717</v>
      </c>
      <c r="N60" s="295">
        <f t="shared" si="23"/>
        <v>116.90426754121216</v>
      </c>
      <c r="O60" s="263">
        <f t="shared" si="23"/>
        <v>17.785968842834762</v>
      </c>
      <c r="P60" s="295">
        <f t="shared" si="23"/>
        <v>138.05866107670903</v>
      </c>
    </row>
    <row r="61" spans="5:16" ht="12.75">
      <c r="E61" s="247"/>
      <c r="F61" s="247"/>
      <c r="G61" s="247"/>
      <c r="H61" s="247"/>
      <c r="I61" s="247"/>
      <c r="J61" s="247"/>
      <c r="K61" s="247"/>
      <c r="L61" s="247"/>
      <c r="M61" s="275"/>
      <c r="N61" s="275"/>
      <c r="O61" s="247"/>
      <c r="P61" s="275"/>
    </row>
    <row r="62" spans="1:16" ht="12.75">
      <c r="A62" s="32"/>
      <c r="B62" s="33" t="s">
        <v>55</v>
      </c>
      <c r="C62" s="32"/>
      <c r="D62" s="32"/>
      <c r="E62" s="264"/>
      <c r="F62" s="264"/>
      <c r="G62" s="264"/>
      <c r="H62" s="264"/>
      <c r="I62" s="264"/>
      <c r="J62" s="264"/>
      <c r="K62" s="264"/>
      <c r="L62" s="264"/>
      <c r="M62" s="191"/>
      <c r="N62" s="191"/>
      <c r="O62" s="264"/>
      <c r="P62" s="191"/>
    </row>
    <row r="63" spans="1:16" ht="12.75">
      <c r="A63" t="s">
        <v>8</v>
      </c>
      <c r="B63" t="s">
        <v>29</v>
      </c>
      <c r="E63" s="265">
        <v>1.44</v>
      </c>
      <c r="F63" s="265">
        <v>1.44</v>
      </c>
      <c r="G63" s="265">
        <v>1.44</v>
      </c>
      <c r="H63" s="265">
        <v>1.44</v>
      </c>
      <c r="I63" s="265">
        <v>1.44</v>
      </c>
      <c r="J63" s="265">
        <v>1.44</v>
      </c>
      <c r="K63" s="265">
        <v>1.44</v>
      </c>
      <c r="L63" s="265">
        <v>1.44</v>
      </c>
      <c r="M63" s="193">
        <v>1.44</v>
      </c>
      <c r="N63" s="193">
        <v>1.44</v>
      </c>
      <c r="O63" s="265">
        <v>1.44</v>
      </c>
      <c r="P63" s="193">
        <v>1.44</v>
      </c>
    </row>
    <row r="64" spans="1:16" ht="12.75">
      <c r="A64" t="s">
        <v>8</v>
      </c>
      <c r="B64" t="s">
        <v>41</v>
      </c>
      <c r="E64" s="266">
        <v>0.057</v>
      </c>
      <c r="F64" s="266">
        <v>0.057</v>
      </c>
      <c r="G64" s="266">
        <v>0.057</v>
      </c>
      <c r="H64" s="266">
        <v>0.057</v>
      </c>
      <c r="I64" s="266">
        <v>0.057</v>
      </c>
      <c r="J64" s="266">
        <v>0.057</v>
      </c>
      <c r="K64" s="266">
        <v>0.057</v>
      </c>
      <c r="L64" s="266">
        <v>0.057</v>
      </c>
      <c r="M64" s="188">
        <v>0.057</v>
      </c>
      <c r="N64" s="188">
        <v>0.057</v>
      </c>
      <c r="O64" s="266">
        <v>0.057</v>
      </c>
      <c r="P64" s="188">
        <v>0.057</v>
      </c>
    </row>
    <row r="65" spans="1:16" ht="12.75">
      <c r="A65" t="s">
        <v>8</v>
      </c>
      <c r="B65" t="s">
        <v>30</v>
      </c>
      <c r="E65" s="266">
        <v>0</v>
      </c>
      <c r="F65" s="266">
        <v>0</v>
      </c>
      <c r="G65" s="266">
        <v>0</v>
      </c>
      <c r="H65" s="266">
        <v>0</v>
      </c>
      <c r="I65" s="266">
        <v>0</v>
      </c>
      <c r="J65" s="266">
        <v>0</v>
      </c>
      <c r="K65" s="266">
        <v>0</v>
      </c>
      <c r="L65" s="266">
        <v>0</v>
      </c>
      <c r="M65" s="188">
        <v>0</v>
      </c>
      <c r="N65" s="188">
        <v>0</v>
      </c>
      <c r="O65" s="266">
        <v>0</v>
      </c>
      <c r="P65" s="188">
        <v>0</v>
      </c>
    </row>
    <row r="66" spans="1:16" ht="12.75">
      <c r="A66" t="s">
        <v>8</v>
      </c>
      <c r="B66" t="s">
        <v>31</v>
      </c>
      <c r="E66" s="267">
        <v>0.14</v>
      </c>
      <c r="F66" s="267">
        <v>0.14</v>
      </c>
      <c r="G66" s="267">
        <v>0.14</v>
      </c>
      <c r="H66" s="267">
        <v>0.14</v>
      </c>
      <c r="I66" s="267">
        <v>0.14</v>
      </c>
      <c r="J66" s="267">
        <v>0.14</v>
      </c>
      <c r="K66" s="267">
        <v>0.14</v>
      </c>
      <c r="L66" s="267">
        <v>0.14</v>
      </c>
      <c r="M66" s="296">
        <v>0.14</v>
      </c>
      <c r="N66" s="296">
        <v>0.14</v>
      </c>
      <c r="O66" s="267">
        <v>0.14</v>
      </c>
      <c r="P66" s="296">
        <v>0.14</v>
      </c>
    </row>
    <row r="67" spans="5:16" ht="12.75">
      <c r="E67" s="260"/>
      <c r="F67" s="260"/>
      <c r="G67" s="260"/>
      <c r="H67" s="260"/>
      <c r="I67" s="260"/>
      <c r="J67" s="260"/>
      <c r="K67" s="260"/>
      <c r="L67" s="260"/>
      <c r="M67" s="297"/>
      <c r="N67" s="297"/>
      <c r="O67" s="260"/>
      <c r="P67" s="297"/>
    </row>
    <row r="68" spans="5:16" ht="12.75">
      <c r="E68" s="268">
        <f aca="true" t="shared" si="24" ref="E68:P68">63.2-15*LN(E18+E63)</f>
        <v>29.757941053838422</v>
      </c>
      <c r="F68" s="268">
        <f t="shared" si="24"/>
        <v>27.601797006857545</v>
      </c>
      <c r="G68" s="268">
        <f t="shared" si="24"/>
        <v>28.28664378215654</v>
      </c>
      <c r="H68" s="268">
        <f t="shared" si="24"/>
        <v>-5.74918104331789</v>
      </c>
      <c r="I68" s="268">
        <f t="shared" si="24"/>
        <v>-39.52194906577813</v>
      </c>
      <c r="J68" s="268">
        <f t="shared" si="24"/>
        <v>-14.978707072019361</v>
      </c>
      <c r="K68" s="268">
        <f t="shared" si="24"/>
        <v>9.122731049251641</v>
      </c>
      <c r="L68" s="268">
        <f t="shared" si="24"/>
        <v>-7.079652533953535</v>
      </c>
      <c r="M68" s="298">
        <f t="shared" si="24"/>
        <v>44.20667440572694</v>
      </c>
      <c r="N68" s="298">
        <f t="shared" si="24"/>
        <v>20.90906045979444</v>
      </c>
      <c r="O68" s="268">
        <f t="shared" si="24"/>
        <v>-7.2116918543581505</v>
      </c>
      <c r="P68" s="298">
        <f t="shared" si="24"/>
        <v>25.599371235104243</v>
      </c>
    </row>
    <row r="69" spans="5:16" ht="12.75">
      <c r="E69" s="254">
        <f aca="true" t="shared" si="25" ref="E69:P69">-0.1167*(E18+E63)</f>
        <v>-1.0847199647999999</v>
      </c>
      <c r="F69" s="254">
        <f t="shared" si="25"/>
        <v>-1.2524038607999997</v>
      </c>
      <c r="G69" s="254">
        <f t="shared" si="25"/>
        <v>-1.1965092288</v>
      </c>
      <c r="H69" s="254">
        <f t="shared" si="25"/>
        <v>-11.570552927999998</v>
      </c>
      <c r="I69" s="254">
        <f t="shared" si="25"/>
        <v>-109.94510524799999</v>
      </c>
      <c r="J69" s="254">
        <f t="shared" si="25"/>
        <v>-21.408008159999998</v>
      </c>
      <c r="K69" s="254">
        <f t="shared" si="25"/>
        <v>-4.293071841600001</v>
      </c>
      <c r="L69" s="254">
        <f t="shared" si="25"/>
        <v>-12.643729862399999</v>
      </c>
      <c r="M69" s="285">
        <f t="shared" si="25"/>
        <v>-0.4139843808</v>
      </c>
      <c r="N69" s="285">
        <f t="shared" si="25"/>
        <v>-1.956676224</v>
      </c>
      <c r="O69" s="254">
        <f t="shared" si="25"/>
        <v>-12.755519126399998</v>
      </c>
      <c r="P69" s="285">
        <f t="shared" si="25"/>
        <v>-1.4312666831999998</v>
      </c>
    </row>
    <row r="70" spans="5:16" ht="12.75">
      <c r="E70" s="268">
        <f aca="true" t="shared" si="26" ref="E70:P70">72.9*EXP(E69)</f>
        <v>24.63993927600942</v>
      </c>
      <c r="F70" s="268">
        <f t="shared" si="26"/>
        <v>20.8360524720247</v>
      </c>
      <c r="G70" s="268">
        <f t="shared" si="26"/>
        <v>22.033839048756203</v>
      </c>
      <c r="H70" s="268">
        <f t="shared" si="26"/>
        <v>0.000688177135358427</v>
      </c>
      <c r="I70" s="268">
        <f t="shared" si="26"/>
        <v>1.3006936105261663E-46</v>
      </c>
      <c r="J70" s="268">
        <f t="shared" si="26"/>
        <v>3.6757648114326734E-08</v>
      </c>
      <c r="K70" s="268">
        <f t="shared" si="26"/>
        <v>0.9960247198436594</v>
      </c>
      <c r="L70" s="268">
        <f t="shared" si="26"/>
        <v>0.00023530189154796576</v>
      </c>
      <c r="M70" s="298">
        <f t="shared" si="26"/>
        <v>48.18772199507451</v>
      </c>
      <c r="N70" s="298">
        <f t="shared" si="26"/>
        <v>10.30276612508696</v>
      </c>
      <c r="O70" s="268">
        <f t="shared" si="26"/>
        <v>0.00021041464218557316</v>
      </c>
      <c r="P70" s="298">
        <f t="shared" si="26"/>
        <v>17.423536346977734</v>
      </c>
    </row>
    <row r="71" spans="3:16" ht="12.75">
      <c r="C71" s="14" t="s">
        <v>21</v>
      </c>
      <c r="E71" s="255">
        <f>AVERAGE(E68,E70)</f>
        <v>27.198940164923922</v>
      </c>
      <c r="F71" s="255">
        <f>AVERAGE(F68,F70)</f>
        <v>24.21892473944112</v>
      </c>
      <c r="G71" s="255">
        <f>AVERAGE(G68,G70)</f>
        <v>25.16024141545637</v>
      </c>
      <c r="H71" s="255">
        <v>20</v>
      </c>
      <c r="I71" s="255">
        <v>20</v>
      </c>
      <c r="J71" s="255">
        <v>20</v>
      </c>
      <c r="K71" s="255">
        <v>20</v>
      </c>
      <c r="L71" s="255">
        <v>20</v>
      </c>
      <c r="M71" s="286">
        <f>AVERAGE(M68,M70)</f>
        <v>46.19719820040073</v>
      </c>
      <c r="N71" s="286">
        <v>20</v>
      </c>
      <c r="O71" s="255">
        <v>20</v>
      </c>
      <c r="P71" s="286">
        <f>AVERAGE(P68,P70)</f>
        <v>21.51145379104099</v>
      </c>
    </row>
    <row r="72" spans="3:16" s="25" customFormat="1" ht="12.75">
      <c r="C72" s="196"/>
      <c r="E72" s="268"/>
      <c r="F72" s="268"/>
      <c r="G72" s="268"/>
      <c r="H72" s="268"/>
      <c r="I72" s="268"/>
      <c r="J72" s="268"/>
      <c r="K72" s="268"/>
      <c r="L72" s="268"/>
      <c r="M72" s="298"/>
      <c r="N72" s="298"/>
      <c r="O72" s="268"/>
      <c r="P72" s="298"/>
    </row>
    <row r="73" spans="1:16" ht="12.75">
      <c r="A73" s="32"/>
      <c r="B73" s="33" t="s">
        <v>32</v>
      </c>
      <c r="C73" s="32"/>
      <c r="D73" s="32"/>
      <c r="E73" s="264"/>
      <c r="F73" s="264"/>
      <c r="G73" s="264"/>
      <c r="H73" s="264"/>
      <c r="I73" s="264"/>
      <c r="J73" s="264"/>
      <c r="K73" s="264"/>
      <c r="L73" s="264"/>
      <c r="M73" s="191"/>
      <c r="N73" s="191"/>
      <c r="O73" s="264"/>
      <c r="P73" s="191"/>
    </row>
    <row r="74" spans="1:16" ht="12.75">
      <c r="A74" t="s">
        <v>8</v>
      </c>
      <c r="B74" t="s">
        <v>86</v>
      </c>
      <c r="D74" s="20"/>
      <c r="E74" s="269">
        <f aca="true" t="shared" si="27" ref="E74:P74">E63*E71/100</f>
        <v>0.39166473837490445</v>
      </c>
      <c r="F74" s="269">
        <f t="shared" si="27"/>
        <v>0.3487525162479521</v>
      </c>
      <c r="G74" s="269">
        <f t="shared" si="27"/>
        <v>0.3623074763825717</v>
      </c>
      <c r="H74" s="269">
        <f t="shared" si="27"/>
        <v>0.288</v>
      </c>
      <c r="I74" s="269">
        <f t="shared" si="27"/>
        <v>0.288</v>
      </c>
      <c r="J74" s="269">
        <f t="shared" si="27"/>
        <v>0.288</v>
      </c>
      <c r="K74" s="269">
        <f t="shared" si="27"/>
        <v>0.288</v>
      </c>
      <c r="L74" s="269">
        <f t="shared" si="27"/>
        <v>0.288</v>
      </c>
      <c r="M74" s="187">
        <f t="shared" si="27"/>
        <v>0.6652396540857705</v>
      </c>
      <c r="N74" s="187">
        <f t="shared" si="27"/>
        <v>0.288</v>
      </c>
      <c r="O74" s="269">
        <f t="shared" si="27"/>
        <v>0.288</v>
      </c>
      <c r="P74" s="187">
        <f t="shared" si="27"/>
        <v>0.3097649345909902</v>
      </c>
    </row>
    <row r="75" spans="1:16" ht="12.75">
      <c r="A75" t="s">
        <v>8</v>
      </c>
      <c r="B75" t="s">
        <v>87</v>
      </c>
      <c r="D75" s="21"/>
      <c r="E75" s="266">
        <f aca="true" t="shared" si="28" ref="E75:P75">(E64+E65)*1</f>
        <v>0.057</v>
      </c>
      <c r="F75" s="266">
        <f t="shared" si="28"/>
        <v>0.057</v>
      </c>
      <c r="G75" s="266">
        <f t="shared" si="28"/>
        <v>0.057</v>
      </c>
      <c r="H75" s="266">
        <f t="shared" si="28"/>
        <v>0.057</v>
      </c>
      <c r="I75" s="266">
        <f t="shared" si="28"/>
        <v>0.057</v>
      </c>
      <c r="J75" s="266">
        <f t="shared" si="28"/>
        <v>0.057</v>
      </c>
      <c r="K75" s="266">
        <f t="shared" si="28"/>
        <v>0.057</v>
      </c>
      <c r="L75" s="266">
        <f t="shared" si="28"/>
        <v>0.057</v>
      </c>
      <c r="M75" s="188">
        <f t="shared" si="28"/>
        <v>0.057</v>
      </c>
      <c r="N75" s="188">
        <f t="shared" si="28"/>
        <v>0.057</v>
      </c>
      <c r="O75" s="266">
        <f t="shared" si="28"/>
        <v>0.057</v>
      </c>
      <c r="P75" s="188">
        <f t="shared" si="28"/>
        <v>0.057</v>
      </c>
    </row>
    <row r="76" spans="1:16" ht="12.75">
      <c r="A76" t="s">
        <v>8</v>
      </c>
      <c r="B76" t="s">
        <v>88</v>
      </c>
      <c r="D76" s="7"/>
      <c r="E76" s="165">
        <f aca="true" t="shared" si="29" ref="E76:P76">E66*0.3/100</f>
        <v>0.00042</v>
      </c>
      <c r="F76" s="165">
        <f t="shared" si="29"/>
        <v>0.00042</v>
      </c>
      <c r="G76" s="165">
        <f t="shared" si="29"/>
        <v>0.00042</v>
      </c>
      <c r="H76" s="165">
        <f t="shared" si="29"/>
        <v>0.00042</v>
      </c>
      <c r="I76" s="165">
        <f t="shared" si="29"/>
        <v>0.00042</v>
      </c>
      <c r="J76" s="165">
        <f t="shared" si="29"/>
        <v>0.00042</v>
      </c>
      <c r="K76" s="165">
        <f t="shared" si="29"/>
        <v>0.00042</v>
      </c>
      <c r="L76" s="165">
        <f t="shared" si="29"/>
        <v>0.00042</v>
      </c>
      <c r="M76" s="189">
        <f t="shared" si="29"/>
        <v>0.00042</v>
      </c>
      <c r="N76" s="189">
        <f t="shared" si="29"/>
        <v>0.00042</v>
      </c>
      <c r="O76" s="165">
        <f t="shared" si="29"/>
        <v>0.00042</v>
      </c>
      <c r="P76" s="189">
        <f t="shared" si="29"/>
        <v>0.00042</v>
      </c>
    </row>
    <row r="77" spans="1:16" ht="12.75">
      <c r="A77" s="41" t="s">
        <v>8</v>
      </c>
      <c r="B77" s="41" t="s">
        <v>89</v>
      </c>
      <c r="C77" s="41"/>
      <c r="D77" s="41"/>
      <c r="E77" s="310">
        <f aca="true" t="shared" si="30" ref="E77:P77">SUM(E74:E76)</f>
        <v>0.4490847383749044</v>
      </c>
      <c r="F77" s="310">
        <f t="shared" si="30"/>
        <v>0.4061725162479521</v>
      </c>
      <c r="G77" s="310">
        <f t="shared" si="30"/>
        <v>0.4197274763825717</v>
      </c>
      <c r="H77" s="310">
        <f t="shared" si="30"/>
        <v>0.34541999999999995</v>
      </c>
      <c r="I77" s="310">
        <f t="shared" si="30"/>
        <v>0.34541999999999995</v>
      </c>
      <c r="J77" s="310">
        <f t="shared" si="30"/>
        <v>0.34541999999999995</v>
      </c>
      <c r="K77" s="310">
        <f t="shared" si="30"/>
        <v>0.34541999999999995</v>
      </c>
      <c r="L77" s="310">
        <f t="shared" si="30"/>
        <v>0.34541999999999995</v>
      </c>
      <c r="M77" s="311">
        <f t="shared" si="30"/>
        <v>0.7226596540857705</v>
      </c>
      <c r="N77" s="311">
        <f t="shared" si="30"/>
        <v>0.34541999999999995</v>
      </c>
      <c r="O77" s="310">
        <f t="shared" si="30"/>
        <v>0.34541999999999995</v>
      </c>
      <c r="P77" s="311">
        <f t="shared" si="30"/>
        <v>0.36718493459099016</v>
      </c>
    </row>
    <row r="78" spans="1:16" ht="12.75">
      <c r="A78" s="24" t="s">
        <v>39</v>
      </c>
      <c r="B78" s="24" t="s">
        <v>89</v>
      </c>
      <c r="C78" s="24"/>
      <c r="D78" s="24"/>
      <c r="E78" s="72">
        <f aca="true" t="shared" si="31" ref="E78:P78">E77/70</f>
        <v>0.0064154962624986345</v>
      </c>
      <c r="F78" s="72">
        <f t="shared" si="31"/>
        <v>0.005802464517827887</v>
      </c>
      <c r="G78" s="72">
        <f t="shared" si="31"/>
        <v>0.00599610680546531</v>
      </c>
      <c r="H78" s="72">
        <f t="shared" si="31"/>
        <v>0.004934571428571428</v>
      </c>
      <c r="I78" s="72">
        <f t="shared" si="31"/>
        <v>0.004934571428571428</v>
      </c>
      <c r="J78" s="72">
        <f t="shared" si="31"/>
        <v>0.004934571428571428</v>
      </c>
      <c r="K78" s="72">
        <f t="shared" si="31"/>
        <v>0.004934571428571428</v>
      </c>
      <c r="L78" s="72">
        <f t="shared" si="31"/>
        <v>0.004934571428571428</v>
      </c>
      <c r="M78" s="190">
        <f t="shared" si="31"/>
        <v>0.010323709344082435</v>
      </c>
      <c r="N78" s="190">
        <f t="shared" si="31"/>
        <v>0.004934571428571428</v>
      </c>
      <c r="O78" s="72">
        <f t="shared" si="31"/>
        <v>0.004934571428571428</v>
      </c>
      <c r="P78" s="190">
        <f t="shared" si="31"/>
        <v>0.005245499065585574</v>
      </c>
    </row>
    <row r="79" spans="1:16" ht="12.75">
      <c r="A79" s="24"/>
      <c r="B79" s="24"/>
      <c r="E79" s="270"/>
      <c r="F79" s="270"/>
      <c r="G79" s="270"/>
      <c r="H79" s="270"/>
      <c r="I79" s="270"/>
      <c r="J79" s="270"/>
      <c r="K79" s="270"/>
      <c r="L79" s="270"/>
      <c r="M79" s="299"/>
      <c r="N79" s="299"/>
      <c r="O79" s="270"/>
      <c r="P79" s="299"/>
    </row>
    <row r="80" spans="1:16" ht="12.75">
      <c r="A80" t="s">
        <v>8</v>
      </c>
      <c r="B80" t="s">
        <v>90</v>
      </c>
      <c r="E80" s="317">
        <f aca="true" t="shared" si="32" ref="E80:P80">E71*E18*(240/365)/(100)</f>
        <v>1.4047966149358562</v>
      </c>
      <c r="F80" s="317">
        <f t="shared" si="32"/>
        <v>1.4797018267274478</v>
      </c>
      <c r="G80" s="317">
        <f t="shared" si="32"/>
        <v>1.4579755778734325</v>
      </c>
      <c r="H80" s="317">
        <f t="shared" si="32"/>
        <v>12.84925019178082</v>
      </c>
      <c r="I80" s="317">
        <f t="shared" si="32"/>
        <v>123.70552635616436</v>
      </c>
      <c r="J80" s="317">
        <f t="shared" si="32"/>
        <v>23.934877808219177</v>
      </c>
      <c r="K80" s="317">
        <f t="shared" si="32"/>
        <v>4.648405216438357</v>
      </c>
      <c r="L80" s="317">
        <f t="shared" si="32"/>
        <v>14.058591386301368</v>
      </c>
      <c r="M80" s="320">
        <f t="shared" si="32"/>
        <v>0.6401561702155482</v>
      </c>
      <c r="N80" s="320">
        <f t="shared" si="32"/>
        <v>2.0155686575342466</v>
      </c>
      <c r="O80" s="317">
        <f t="shared" si="32"/>
        <v>14.184564427397255</v>
      </c>
      <c r="P80" s="320">
        <f t="shared" si="32"/>
        <v>1.5310727376349018</v>
      </c>
    </row>
    <row r="81" spans="1:16" ht="12.75">
      <c r="A81" t="s">
        <v>8</v>
      </c>
      <c r="B81" t="s">
        <v>91</v>
      </c>
      <c r="E81" s="318">
        <f aca="true" t="shared" si="33" ref="E81:P81">E53*0.03*(240/365)/(100)</f>
        <v>0.1877917808219178</v>
      </c>
      <c r="F81" s="318">
        <f t="shared" si="33"/>
        <v>0.1877917808219178</v>
      </c>
      <c r="G81" s="318">
        <f t="shared" si="33"/>
        <v>0.1877917808219178</v>
      </c>
      <c r="H81" s="318">
        <f t="shared" si="33"/>
        <v>0.1877917808219178</v>
      </c>
      <c r="I81" s="318">
        <f t="shared" si="33"/>
        <v>0.1877917808219178</v>
      </c>
      <c r="J81" s="318">
        <f t="shared" si="33"/>
        <v>0.1877917808219178</v>
      </c>
      <c r="K81" s="318">
        <f t="shared" si="33"/>
        <v>0.1877917808219178</v>
      </c>
      <c r="L81" s="318">
        <f t="shared" si="33"/>
        <v>0.1877917808219178</v>
      </c>
      <c r="M81" s="321">
        <f t="shared" si="33"/>
        <v>0.1877917808219178</v>
      </c>
      <c r="N81" s="321">
        <f t="shared" si="33"/>
        <v>0.1877917808219178</v>
      </c>
      <c r="O81" s="318">
        <f t="shared" si="33"/>
        <v>0.1877917808219178</v>
      </c>
      <c r="P81" s="321">
        <f t="shared" si="33"/>
        <v>0.1877917808219178</v>
      </c>
    </row>
    <row r="82" spans="1:16" ht="12.75">
      <c r="A82" t="s">
        <v>8</v>
      </c>
      <c r="B82" t="s">
        <v>92</v>
      </c>
      <c r="E82" s="319">
        <f aca="true" t="shared" si="34" ref="E82:P82">E47*(240/365)</f>
        <v>0.121293501369863</v>
      </c>
      <c r="F82" s="319">
        <f t="shared" si="34"/>
        <v>0.14348133698630133</v>
      </c>
      <c r="G82" s="319">
        <f t="shared" si="34"/>
        <v>0.1360853917808219</v>
      </c>
      <c r="H82" s="319">
        <f t="shared" si="34"/>
        <v>1.508772821917808</v>
      </c>
      <c r="I82" s="319">
        <f t="shared" si="34"/>
        <v>14.525636383561643</v>
      </c>
      <c r="J82" s="319">
        <f t="shared" si="34"/>
        <v>2.8104591780821915</v>
      </c>
      <c r="K82" s="319">
        <f t="shared" si="34"/>
        <v>0.5458207561643835</v>
      </c>
      <c r="L82" s="319">
        <f t="shared" si="34"/>
        <v>1.6507749698630134</v>
      </c>
      <c r="M82" s="322">
        <f t="shared" si="34"/>
        <v>0.032542158904109594</v>
      </c>
      <c r="N82" s="322">
        <f t="shared" si="34"/>
        <v>0.23667024657534247</v>
      </c>
      <c r="O82" s="319">
        <f t="shared" si="34"/>
        <v>1.6655668602739722</v>
      </c>
      <c r="P82" s="322">
        <f t="shared" si="34"/>
        <v>0.16714836164383556</v>
      </c>
    </row>
    <row r="83" spans="1:16" ht="12.75">
      <c r="A83" s="41" t="s">
        <v>8</v>
      </c>
      <c r="B83" s="41" t="s">
        <v>93</v>
      </c>
      <c r="C83" s="41"/>
      <c r="D83" s="41"/>
      <c r="E83" s="310">
        <f aca="true" t="shared" si="35" ref="E83:P83">SUM(E80:E82)</f>
        <v>1.713881897127637</v>
      </c>
      <c r="F83" s="310">
        <f t="shared" si="35"/>
        <v>1.8109749445356669</v>
      </c>
      <c r="G83" s="310">
        <f t="shared" si="35"/>
        <v>1.781852750476172</v>
      </c>
      <c r="H83" s="310">
        <f t="shared" si="35"/>
        <v>14.545814794520545</v>
      </c>
      <c r="I83" s="310">
        <f t="shared" si="35"/>
        <v>138.4189545205479</v>
      </c>
      <c r="J83" s="310">
        <f t="shared" si="35"/>
        <v>26.933128767123286</v>
      </c>
      <c r="K83" s="310">
        <f t="shared" si="35"/>
        <v>5.382017753424659</v>
      </c>
      <c r="L83" s="310">
        <f t="shared" si="35"/>
        <v>15.897158136986299</v>
      </c>
      <c r="M83" s="311">
        <f t="shared" si="35"/>
        <v>0.8604901099415756</v>
      </c>
      <c r="N83" s="311">
        <f t="shared" si="35"/>
        <v>2.4400306849315068</v>
      </c>
      <c r="O83" s="310">
        <f t="shared" si="35"/>
        <v>16.037923068493146</v>
      </c>
      <c r="P83" s="311">
        <f t="shared" si="35"/>
        <v>1.8860128801006553</v>
      </c>
    </row>
    <row r="84" spans="1:16" ht="12.75">
      <c r="A84" s="24" t="s">
        <v>39</v>
      </c>
      <c r="B84" s="24" t="s">
        <v>93</v>
      </c>
      <c r="C84" s="24"/>
      <c r="D84" s="24"/>
      <c r="E84" s="72">
        <f aca="true" t="shared" si="36" ref="E84:P84">E83/70</f>
        <v>0.024484027101823385</v>
      </c>
      <c r="F84" s="72">
        <f t="shared" si="36"/>
        <v>0.025871070636223813</v>
      </c>
      <c r="G84" s="72">
        <f t="shared" si="36"/>
        <v>0.025455039292516746</v>
      </c>
      <c r="H84" s="72">
        <f t="shared" si="36"/>
        <v>0.20779735420743636</v>
      </c>
      <c r="I84" s="72">
        <f t="shared" si="36"/>
        <v>1.9774136360078274</v>
      </c>
      <c r="J84" s="72">
        <f t="shared" si="36"/>
        <v>0.3847589823874755</v>
      </c>
      <c r="K84" s="72">
        <f t="shared" si="36"/>
        <v>0.07688596790606655</v>
      </c>
      <c r="L84" s="72">
        <f t="shared" si="36"/>
        <v>0.22710225909980428</v>
      </c>
      <c r="M84" s="190">
        <f t="shared" si="36"/>
        <v>0.012292715856308223</v>
      </c>
      <c r="N84" s="190">
        <f t="shared" si="36"/>
        <v>0.03485758121330724</v>
      </c>
      <c r="O84" s="72">
        <f t="shared" si="36"/>
        <v>0.22911318669275924</v>
      </c>
      <c r="P84" s="190">
        <f t="shared" si="36"/>
        <v>0.026943041144295077</v>
      </c>
    </row>
    <row r="85" spans="5:16" ht="13.5" thickBot="1">
      <c r="E85" s="247"/>
      <c r="F85" s="247"/>
      <c r="G85" s="247"/>
      <c r="H85" s="247"/>
      <c r="I85" s="247"/>
      <c r="J85" s="247"/>
      <c r="K85" s="247"/>
      <c r="L85" s="247"/>
      <c r="M85" s="275"/>
      <c r="N85" s="275"/>
      <c r="O85" s="247"/>
      <c r="P85" s="275"/>
    </row>
    <row r="86" spans="1:16" ht="38.25" customHeight="1">
      <c r="A86" s="45" t="s">
        <v>8</v>
      </c>
      <c r="B86" s="332" t="s">
        <v>32</v>
      </c>
      <c r="C86" s="333"/>
      <c r="D86" s="333"/>
      <c r="E86" s="42">
        <f aca="true" t="shared" si="37" ref="E86:P86">E77+E83</f>
        <v>2.1629666355025416</v>
      </c>
      <c r="F86" s="42">
        <f t="shared" si="37"/>
        <v>2.217147460783619</v>
      </c>
      <c r="G86" s="42">
        <f t="shared" si="37"/>
        <v>2.2015802268587437</v>
      </c>
      <c r="H86" s="42">
        <f t="shared" si="37"/>
        <v>14.891234794520546</v>
      </c>
      <c r="I86" s="42">
        <f t="shared" si="37"/>
        <v>138.7643745205479</v>
      </c>
      <c r="J86" s="42">
        <f t="shared" si="37"/>
        <v>27.278548767123286</v>
      </c>
      <c r="K86" s="42">
        <f t="shared" si="37"/>
        <v>5.727437753424659</v>
      </c>
      <c r="L86" s="42">
        <f t="shared" si="37"/>
        <v>16.2425781369863</v>
      </c>
      <c r="M86" s="80">
        <f t="shared" si="37"/>
        <v>1.583149764027346</v>
      </c>
      <c r="N86" s="80">
        <f t="shared" si="37"/>
        <v>2.7854506849315066</v>
      </c>
      <c r="O86" s="42">
        <f t="shared" si="37"/>
        <v>16.383343068493147</v>
      </c>
      <c r="P86" s="80">
        <f t="shared" si="37"/>
        <v>2.2531978146916454</v>
      </c>
    </row>
    <row r="87" spans="1:16" ht="12.75">
      <c r="A87" s="36" t="s">
        <v>39</v>
      </c>
      <c r="B87" s="35"/>
      <c r="C87" s="23"/>
      <c r="D87" s="23"/>
      <c r="E87" s="43">
        <f aca="true" t="shared" si="38" ref="E87:P87">E86/70</f>
        <v>0.030899523364322022</v>
      </c>
      <c r="F87" s="43">
        <f t="shared" si="38"/>
        <v>0.0316735351540517</v>
      </c>
      <c r="G87" s="43">
        <f t="shared" si="38"/>
        <v>0.03145114609798205</v>
      </c>
      <c r="H87" s="43">
        <f t="shared" si="38"/>
        <v>0.2127319256360078</v>
      </c>
      <c r="I87" s="43">
        <f t="shared" si="38"/>
        <v>1.9823482074363987</v>
      </c>
      <c r="J87" s="43">
        <f t="shared" si="38"/>
        <v>0.3896935538160469</v>
      </c>
      <c r="K87" s="43">
        <f t="shared" si="38"/>
        <v>0.08182053933463798</v>
      </c>
      <c r="L87" s="43">
        <f t="shared" si="38"/>
        <v>0.2320368305283757</v>
      </c>
      <c r="M87" s="81">
        <f t="shared" si="38"/>
        <v>0.022616425200390658</v>
      </c>
      <c r="N87" s="81">
        <f t="shared" si="38"/>
        <v>0.039792152641878666</v>
      </c>
      <c r="O87" s="43">
        <f t="shared" si="38"/>
        <v>0.23404775812133066</v>
      </c>
      <c r="P87" s="81">
        <f t="shared" si="38"/>
        <v>0.03218854020988065</v>
      </c>
    </row>
    <row r="88" spans="2:16" ht="13.5" thickBot="1">
      <c r="B88" s="37"/>
      <c r="C88" s="38" t="s">
        <v>40</v>
      </c>
      <c r="D88" s="39"/>
      <c r="E88" s="271">
        <f aca="true" t="shared" si="39" ref="E88:P88">4.075/E87</f>
        <v>131.87905690173778</v>
      </c>
      <c r="F88" s="271">
        <f t="shared" si="39"/>
        <v>128.65630502500835</v>
      </c>
      <c r="G88" s="271">
        <f t="shared" si="39"/>
        <v>129.5660255847229</v>
      </c>
      <c r="H88" s="271">
        <f t="shared" si="39"/>
        <v>19.155563923077892</v>
      </c>
      <c r="I88" s="271">
        <f t="shared" si="39"/>
        <v>2.055642890947927</v>
      </c>
      <c r="J88" s="271">
        <f t="shared" si="39"/>
        <v>10.45693458384376</v>
      </c>
      <c r="K88" s="271">
        <f t="shared" si="39"/>
        <v>49.804120495144254</v>
      </c>
      <c r="L88" s="271">
        <f t="shared" si="39"/>
        <v>17.561867186001187</v>
      </c>
      <c r="M88" s="169">
        <f t="shared" si="39"/>
        <v>180.1787843964665</v>
      </c>
      <c r="N88" s="169">
        <f t="shared" si="39"/>
        <v>102.4071262661806</v>
      </c>
      <c r="O88" s="271">
        <f t="shared" si="39"/>
        <v>17.410976429381197</v>
      </c>
      <c r="P88" s="169">
        <f t="shared" si="39"/>
        <v>126.59785045949774</v>
      </c>
    </row>
  </sheetData>
  <sheetProtection/>
  <mergeCells count="2">
    <mergeCell ref="B58:D58"/>
    <mergeCell ref="B86:D8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52">
      <selection activeCell="A2" sqref="A2"/>
    </sheetView>
  </sheetViews>
  <sheetFormatPr defaultColWidth="9.140625" defaultRowHeight="12.75"/>
  <cols>
    <col min="3" max="3" width="13.7109375" style="0" customWidth="1"/>
    <col min="4" max="4" width="12.140625" style="0" customWidth="1"/>
    <col min="5" max="5" width="11.28125" style="206" customWidth="1"/>
    <col min="6" max="6" width="10.57421875" style="206" customWidth="1"/>
    <col min="7" max="7" width="10.8515625" style="206" customWidth="1"/>
    <col min="8" max="8" width="10.57421875" style="206" customWidth="1"/>
    <col min="9" max="9" width="9.140625" style="206" customWidth="1"/>
  </cols>
  <sheetData>
    <row r="1" spans="1:9" ht="12.75">
      <c r="A1" s="1" t="s">
        <v>99</v>
      </c>
      <c r="B1" s="1"/>
      <c r="C1" s="1"/>
      <c r="D1" s="2"/>
      <c r="E1" s="205"/>
      <c r="F1" s="205"/>
      <c r="G1" s="205"/>
      <c r="H1" s="205"/>
      <c r="I1" s="205"/>
    </row>
    <row r="2" spans="1:9" ht="12.75">
      <c r="A2" s="1" t="s">
        <v>0</v>
      </c>
      <c r="B2" s="1"/>
      <c r="C2" s="1"/>
      <c r="D2" s="2"/>
      <c r="E2" s="205"/>
      <c r="F2" s="205"/>
      <c r="G2" s="205"/>
      <c r="H2" s="205"/>
      <c r="I2" s="205"/>
    </row>
    <row r="3" spans="2:8" ht="12.75">
      <c r="B3" s="75" t="s">
        <v>1</v>
      </c>
      <c r="C3" s="15" t="s">
        <v>2</v>
      </c>
      <c r="D3" s="76" t="s">
        <v>3</v>
      </c>
      <c r="E3" t="s">
        <v>48</v>
      </c>
      <c r="F3" t="s">
        <v>48</v>
      </c>
      <c r="G3" t="s">
        <v>49</v>
      </c>
      <c r="H3" t="s">
        <v>50</v>
      </c>
    </row>
    <row r="4" spans="5:9" ht="12.75">
      <c r="E4" t="s">
        <v>42</v>
      </c>
      <c r="F4" t="s">
        <v>43</v>
      </c>
      <c r="G4" t="s">
        <v>44</v>
      </c>
      <c r="H4" t="s">
        <v>45</v>
      </c>
      <c r="I4" t="s">
        <v>46</v>
      </c>
    </row>
    <row r="5" spans="1:9" s="25" customFormat="1" ht="12.75">
      <c r="A5" s="32"/>
      <c r="B5" s="33" t="s">
        <v>53</v>
      </c>
      <c r="C5" s="32"/>
      <c r="D5" s="32"/>
      <c r="E5" s="207"/>
      <c r="F5" s="209"/>
      <c r="G5" s="209"/>
      <c r="H5" s="209"/>
      <c r="I5" s="209"/>
    </row>
    <row r="6" spans="2:9" s="25" customFormat="1" ht="12.75">
      <c r="B6" s="74" t="s">
        <v>4</v>
      </c>
      <c r="E6" s="208"/>
      <c r="F6" s="210"/>
      <c r="G6" s="210"/>
      <c r="H6" s="210"/>
      <c r="I6" s="210"/>
    </row>
    <row r="7" spans="1:9" ht="12.75">
      <c r="A7" t="s">
        <v>6</v>
      </c>
      <c r="B7" t="s">
        <v>5</v>
      </c>
      <c r="E7" s="120">
        <v>0.68</v>
      </c>
      <c r="F7" s="120">
        <v>0.3</v>
      </c>
      <c r="G7" s="120">
        <v>0.1</v>
      </c>
      <c r="H7" s="120">
        <v>0.12</v>
      </c>
      <c r="I7" s="120">
        <v>0.23</v>
      </c>
    </row>
    <row r="8" spans="5:9" ht="12.75">
      <c r="E8" s="246"/>
      <c r="F8" s="247"/>
      <c r="G8" s="247"/>
      <c r="H8" s="247"/>
      <c r="I8" s="247"/>
    </row>
    <row r="9" spans="1:9" ht="12.75">
      <c r="A9" t="s">
        <v>8</v>
      </c>
      <c r="B9" t="s">
        <v>7</v>
      </c>
      <c r="E9" s="246">
        <f>E7*10</f>
        <v>6.800000000000001</v>
      </c>
      <c r="F9" s="246">
        <f>F7*10</f>
        <v>3</v>
      </c>
      <c r="G9" s="246">
        <f>G7*10</f>
        <v>1</v>
      </c>
      <c r="H9" s="246">
        <f>H7*10</f>
        <v>1.2</v>
      </c>
      <c r="I9" s="246">
        <f>I7*10</f>
        <v>2.3000000000000003</v>
      </c>
    </row>
    <row r="10" spans="1:9" ht="12.75">
      <c r="A10" t="s">
        <v>9</v>
      </c>
      <c r="C10" t="s">
        <v>96</v>
      </c>
      <c r="D10" s="9"/>
      <c r="E10" s="246">
        <f>0.48*E9</f>
        <v>3.2640000000000002</v>
      </c>
      <c r="F10" s="246">
        <f>0.48*F9</f>
        <v>1.44</v>
      </c>
      <c r="G10" s="246">
        <f>0.48*G9</f>
        <v>0.48</v>
      </c>
      <c r="H10" s="246">
        <f>0.48*H9</f>
        <v>0.576</v>
      </c>
      <c r="I10" s="246">
        <f>0.48*I9</f>
        <v>1.104</v>
      </c>
    </row>
    <row r="11" spans="1:9" ht="12.75">
      <c r="A11" t="s">
        <v>9</v>
      </c>
      <c r="C11" t="s">
        <v>97</v>
      </c>
      <c r="D11" s="9"/>
      <c r="E11" s="246">
        <f>0.36*E9</f>
        <v>2.448</v>
      </c>
      <c r="F11" s="246">
        <f>0.36*F9</f>
        <v>1.08</v>
      </c>
      <c r="G11" s="246">
        <f>0.36*G9</f>
        <v>0.36</v>
      </c>
      <c r="H11" s="246">
        <f>0.36*H9</f>
        <v>0.432</v>
      </c>
      <c r="I11" s="246">
        <f>0.36*I9</f>
        <v>0.8280000000000001</v>
      </c>
    </row>
    <row r="12" spans="1:9" ht="12.75">
      <c r="A12" t="s">
        <v>9</v>
      </c>
      <c r="C12" t="s">
        <v>98</v>
      </c>
      <c r="D12" s="9"/>
      <c r="E12" s="246">
        <f>0.16*E9</f>
        <v>1.088</v>
      </c>
      <c r="F12" s="246">
        <f>0.16*F9</f>
        <v>0.48</v>
      </c>
      <c r="G12" s="246">
        <f>0.16*G9</f>
        <v>0.16</v>
      </c>
      <c r="H12" s="246">
        <f>0.16*H9</f>
        <v>0.192</v>
      </c>
      <c r="I12" s="246">
        <f>0.16*I9</f>
        <v>0.36800000000000005</v>
      </c>
    </row>
    <row r="13" spans="5:9" ht="12.75">
      <c r="E13" s="86"/>
      <c r="F13" s="86"/>
      <c r="G13" s="86"/>
      <c r="H13" s="86"/>
      <c r="I13" s="247"/>
    </row>
    <row r="14" spans="1:9" ht="12.75">
      <c r="A14" t="s">
        <v>9</v>
      </c>
      <c r="B14" t="s">
        <v>10</v>
      </c>
      <c r="E14" s="105">
        <f>0.997*E10+0.942*E11+0.797*E12</f>
        <v>6.42736</v>
      </c>
      <c r="F14" s="105">
        <f>0.997*F10+0.942*F11+0.797*F12</f>
        <v>2.8355999999999995</v>
      </c>
      <c r="G14" s="105">
        <f>0.997*G10+0.942*G11+0.797*G12</f>
        <v>0.9452</v>
      </c>
      <c r="H14" s="105">
        <f>0.997*H10+0.942*H11+0.797*H12</f>
        <v>1.13424</v>
      </c>
      <c r="I14" s="105">
        <f>0.997*I10+0.942*I11+0.797*I12</f>
        <v>2.17396</v>
      </c>
    </row>
    <row r="15" spans="1:9" ht="12.75">
      <c r="A15" t="s">
        <v>9</v>
      </c>
      <c r="B15" t="s">
        <v>11</v>
      </c>
      <c r="E15" s="248">
        <f>0.002*E10+0.018*E11+0.033*E12</f>
        <v>0.086496</v>
      </c>
      <c r="F15" s="248">
        <f>0.002*F10+0.018*F11+0.033*F12</f>
        <v>0.03816</v>
      </c>
      <c r="G15" s="248">
        <f>0.002*G10+0.018*G11+0.033*G12</f>
        <v>0.012719999999999999</v>
      </c>
      <c r="H15" s="248">
        <f>0.002*H10+0.018*H11+0.033*H12</f>
        <v>0.015264</v>
      </c>
      <c r="I15" s="248">
        <f>0.002*I10+0.018*I11+0.033*I12</f>
        <v>0.029256000000000004</v>
      </c>
    </row>
    <row r="16" spans="1:9" ht="12.75">
      <c r="A16" t="s">
        <v>9</v>
      </c>
      <c r="B16" t="s">
        <v>34</v>
      </c>
      <c r="E16" s="105">
        <f>0.0002*E10+0.028*E11+0.077*E12</f>
        <v>0.1529728</v>
      </c>
      <c r="F16" s="105">
        <f>0.0002*F10+0.028*F11+0.077*F12</f>
        <v>0.067488</v>
      </c>
      <c r="G16" s="105">
        <f>0.0002*G10+0.028*G11+0.077*G12</f>
        <v>0.022496000000000002</v>
      </c>
      <c r="H16" s="105">
        <f>0.0002*H10+0.028*H11+0.077*H12</f>
        <v>0.0269952</v>
      </c>
      <c r="I16" s="105">
        <f>0.0002*I10+0.028*I11+0.077*I12</f>
        <v>0.0517408</v>
      </c>
    </row>
    <row r="17" spans="5:9" ht="12.75">
      <c r="E17" s="105"/>
      <c r="F17" s="105"/>
      <c r="G17" s="105"/>
      <c r="H17" s="105"/>
      <c r="I17" s="105"/>
    </row>
    <row r="18" spans="1:9" ht="12.75">
      <c r="A18" t="s">
        <v>8</v>
      </c>
      <c r="B18" t="s">
        <v>12</v>
      </c>
      <c r="E18" s="249">
        <f>E14+E15</f>
        <v>6.5138560000000005</v>
      </c>
      <c r="F18" s="249">
        <f>F14+F15</f>
        <v>2.8737599999999994</v>
      </c>
      <c r="G18" s="249">
        <f>G14+G15</f>
        <v>0.95792</v>
      </c>
      <c r="H18" s="249">
        <f>H14+H15</f>
        <v>1.1495039999999999</v>
      </c>
      <c r="I18" s="249">
        <f>I14+I15</f>
        <v>2.2032160000000003</v>
      </c>
    </row>
    <row r="19" spans="1:9" ht="12.75">
      <c r="A19" t="s">
        <v>8</v>
      </c>
      <c r="B19" t="s">
        <v>13</v>
      </c>
      <c r="E19" s="250">
        <f>E16</f>
        <v>0.1529728</v>
      </c>
      <c r="F19" s="250">
        <f>F16</f>
        <v>0.067488</v>
      </c>
      <c r="G19" s="250">
        <f>G16</f>
        <v>0.022496000000000002</v>
      </c>
      <c r="H19" s="250">
        <f>H16</f>
        <v>0.0269952</v>
      </c>
      <c r="I19" s="250">
        <f>I16</f>
        <v>0.0517408</v>
      </c>
    </row>
    <row r="20" spans="5:9" ht="12.75">
      <c r="E20" s="247"/>
      <c r="F20" s="247"/>
      <c r="G20" s="247"/>
      <c r="H20" s="247"/>
      <c r="I20" s="247"/>
    </row>
    <row r="21" spans="2:9" ht="12.75" customHeight="1" hidden="1">
      <c r="B21" s="14" t="s">
        <v>14</v>
      </c>
      <c r="E21" s="86"/>
      <c r="F21" s="86"/>
      <c r="G21" s="86"/>
      <c r="H21" s="86"/>
      <c r="I21" s="86"/>
    </row>
    <row r="22" spans="2:9" ht="12.75" customHeight="1" hidden="1">
      <c r="B22" t="s">
        <v>15</v>
      </c>
      <c r="E22" s="86"/>
      <c r="F22" s="86"/>
      <c r="G22" s="86"/>
      <c r="H22" s="86"/>
      <c r="I22" s="86"/>
    </row>
    <row r="23" spans="5:9" ht="12.75" customHeight="1" hidden="1">
      <c r="E23" s="86"/>
      <c r="F23" s="86"/>
      <c r="G23" s="86"/>
      <c r="H23" s="86"/>
      <c r="I23" s="86"/>
    </row>
    <row r="24" spans="2:9" ht="12.75" customHeight="1" hidden="1">
      <c r="B24" s="14" t="s">
        <v>16</v>
      </c>
      <c r="E24" s="86"/>
      <c r="F24" s="86"/>
      <c r="G24" s="86"/>
      <c r="H24" s="86"/>
      <c r="I24" s="86"/>
    </row>
    <row r="25" spans="2:9" ht="12.75" customHeight="1" hidden="1">
      <c r="B25" t="s">
        <v>17</v>
      </c>
      <c r="E25" s="86">
        <v>2.25</v>
      </c>
      <c r="F25" s="86">
        <v>2.25</v>
      </c>
      <c r="G25" s="86">
        <v>2.25</v>
      </c>
      <c r="H25" s="86">
        <v>2.25</v>
      </c>
      <c r="I25" s="86">
        <v>2.25</v>
      </c>
    </row>
    <row r="26" spans="2:9" ht="12.75" customHeight="1" hidden="1">
      <c r="B26" t="s">
        <v>7</v>
      </c>
      <c r="E26" s="86">
        <v>0.001</v>
      </c>
      <c r="F26" s="86">
        <v>0.001</v>
      </c>
      <c r="G26" s="86">
        <v>0.001</v>
      </c>
      <c r="H26" s="86">
        <v>0.001</v>
      </c>
      <c r="I26" s="86">
        <v>0.001</v>
      </c>
    </row>
    <row r="27" spans="5:9" ht="12.75" customHeight="1" hidden="1">
      <c r="E27" s="86"/>
      <c r="F27" s="86"/>
      <c r="G27" s="86"/>
      <c r="H27" s="86"/>
      <c r="I27" s="86"/>
    </row>
    <row r="28" spans="5:9" ht="12.75" customHeight="1" hidden="1">
      <c r="E28" s="86"/>
      <c r="F28" s="86"/>
      <c r="G28" s="86"/>
      <c r="H28" s="86"/>
      <c r="I28" s="86"/>
    </row>
    <row r="29" spans="5:9" ht="12.75" customHeight="1" hidden="1">
      <c r="E29" s="86"/>
      <c r="F29" s="86"/>
      <c r="G29" s="86"/>
      <c r="H29" s="86"/>
      <c r="I29" s="86"/>
    </row>
    <row r="30" spans="2:9" ht="12.75" customHeight="1" hidden="1">
      <c r="B30" t="s">
        <v>18</v>
      </c>
      <c r="E30" s="251">
        <f>E19+H26</f>
        <v>0.1539728</v>
      </c>
      <c r="F30" s="251">
        <f>F19+I26</f>
        <v>0.06848800000000001</v>
      </c>
      <c r="G30" s="251">
        <f>G19+K26</f>
        <v>0.022496000000000002</v>
      </c>
      <c r="H30" s="251">
        <f>H19+M26</f>
        <v>0.0269952</v>
      </c>
      <c r="I30" s="251">
        <f>I19+O26</f>
        <v>0.0517408</v>
      </c>
    </row>
    <row r="31" spans="2:9" ht="12.75" customHeight="1" hidden="1">
      <c r="B31" t="s">
        <v>19</v>
      </c>
      <c r="E31" s="252">
        <f>E18+H25</f>
        <v>8.763856</v>
      </c>
      <c r="F31" s="252">
        <f>F18+I25</f>
        <v>5.123759999999999</v>
      </c>
      <c r="G31" s="252">
        <f>G18+K25</f>
        <v>0.95792</v>
      </c>
      <c r="H31" s="252">
        <f>H18+M25</f>
        <v>1.1495039999999999</v>
      </c>
      <c r="I31" s="252">
        <f>I18+O25</f>
        <v>2.2032160000000003</v>
      </c>
    </row>
    <row r="32" spans="2:9" ht="12.75" customHeight="1" hidden="1">
      <c r="B32" t="s">
        <v>20</v>
      </c>
      <c r="E32" s="253">
        <f>H22</f>
        <v>0</v>
      </c>
      <c r="F32" s="253">
        <f>I22</f>
        <v>0</v>
      </c>
      <c r="G32" s="253">
        <f>K22</f>
        <v>0</v>
      </c>
      <c r="H32" s="253">
        <f>M22</f>
        <v>0</v>
      </c>
      <c r="I32" s="253">
        <f>O22</f>
        <v>0</v>
      </c>
    </row>
    <row r="33" spans="5:9" ht="12.75" customHeight="1" hidden="1">
      <c r="E33" s="86"/>
      <c r="F33" s="86"/>
      <c r="G33" s="86"/>
      <c r="H33" s="86"/>
      <c r="I33" s="86"/>
    </row>
    <row r="34" spans="5:9" ht="12.75" customHeight="1" hidden="1">
      <c r="E34" s="86"/>
      <c r="F34" s="86"/>
      <c r="G34" s="86"/>
      <c r="H34" s="86"/>
      <c r="I34" s="86"/>
    </row>
    <row r="35" spans="5:9" ht="12.75" customHeight="1" hidden="1">
      <c r="E35" s="247"/>
      <c r="F35" s="247"/>
      <c r="G35" s="247"/>
      <c r="H35" s="247"/>
      <c r="I35" s="247"/>
    </row>
    <row r="36" spans="5:9" ht="12.75" customHeight="1" hidden="1">
      <c r="E36" s="247"/>
      <c r="F36" s="247"/>
      <c r="G36" s="247"/>
      <c r="H36" s="247"/>
      <c r="I36" s="247"/>
    </row>
    <row r="37" spans="2:9" ht="12.75" customHeight="1" hidden="1">
      <c r="B37" s="14" t="s">
        <v>21</v>
      </c>
      <c r="E37" s="247"/>
      <c r="F37" s="247"/>
      <c r="G37" s="247"/>
      <c r="H37" s="247"/>
      <c r="I37" s="247"/>
    </row>
    <row r="38" spans="2:9" ht="12.75" customHeight="1" hidden="1">
      <c r="B38" s="18" t="e">
        <f>63.2-15*LN(#REF!)</f>
        <v>#REF!</v>
      </c>
      <c r="E38" s="247"/>
      <c r="F38" s="247"/>
      <c r="G38" s="247"/>
      <c r="H38" s="247"/>
      <c r="I38" s="247"/>
    </row>
    <row r="39" spans="1:9" ht="12.75" customHeight="1" hidden="1">
      <c r="A39" t="e">
        <f>-0.1167*#REF!</f>
        <v>#REF!</v>
      </c>
      <c r="B39" s="18" t="e">
        <f>72.9*EXP(A39)</f>
        <v>#REF!</v>
      </c>
      <c r="E39" s="247"/>
      <c r="F39" s="247"/>
      <c r="G39" s="247"/>
      <c r="H39" s="247"/>
      <c r="I39" s="247"/>
    </row>
    <row r="40" spans="2:14" ht="12.75" customHeight="1" hidden="1">
      <c r="B40" s="18" t="e">
        <f>AVERAGE(B38:B39)</f>
        <v>#REF!</v>
      </c>
      <c r="E40" s="247"/>
      <c r="F40" s="247"/>
      <c r="G40" s="247"/>
      <c r="H40" s="247"/>
      <c r="I40" s="247"/>
      <c r="N40" s="46" t="s">
        <v>47</v>
      </c>
    </row>
    <row r="41" spans="2:9" ht="12.75">
      <c r="B41" s="18"/>
      <c r="E41" s="254">
        <f>63.2-15*LN(E18)</f>
        <v>35.091025994345515</v>
      </c>
      <c r="F41" s="254">
        <f>63.2-15*LN(F18)</f>
        <v>47.36568084705479</v>
      </c>
      <c r="G41" s="254">
        <f>63.2-15*LN(G18)</f>
        <v>63.84486517707643</v>
      </c>
      <c r="H41" s="254">
        <f>63.2-15*LN(H18)</f>
        <v>61.110041825167116</v>
      </c>
      <c r="I41" s="254">
        <f>63.2-15*LN(I18)</f>
        <v>51.35122833304987</v>
      </c>
    </row>
    <row r="42" spans="2:9" ht="12.75" customHeight="1">
      <c r="B42" s="18"/>
      <c r="E42" s="254">
        <f>-0.1167*(E18)</f>
        <v>-0.7601669952000001</v>
      </c>
      <c r="F42" s="254">
        <f>-0.1167*(F18)</f>
        <v>-0.33536779199999994</v>
      </c>
      <c r="G42" s="254">
        <f>-0.1167*(G18)</f>
        <v>-0.111789264</v>
      </c>
      <c r="H42" s="254">
        <f>-0.1167*(H18)</f>
        <v>-0.1341471168</v>
      </c>
      <c r="I42" s="254">
        <f>-0.1167*(I18)</f>
        <v>-0.25711530720000003</v>
      </c>
    </row>
    <row r="43" spans="2:9" ht="12.75">
      <c r="B43" s="18"/>
      <c r="E43" s="254">
        <f>72.9*EXP(E42)</f>
        <v>34.087189656640284</v>
      </c>
      <c r="F43" s="254">
        <f>72.9*EXP(F42)</f>
        <v>52.128970350638326</v>
      </c>
      <c r="G43" s="254">
        <f>72.9*EXP(G42)</f>
        <v>65.18956271204219</v>
      </c>
      <c r="H43" s="254">
        <f>72.9*EXP(H42)</f>
        <v>63.74823658311468</v>
      </c>
      <c r="I43" s="254">
        <f>72.9*EXP(I42)</f>
        <v>56.37204230637591</v>
      </c>
    </row>
    <row r="44" spans="2:9" ht="12.75">
      <c r="B44" s="18"/>
      <c r="C44" s="14" t="s">
        <v>23</v>
      </c>
      <c r="E44" s="255">
        <f>AVERAGE(E41,E43)</f>
        <v>34.5891078254929</v>
      </c>
      <c r="F44" s="255">
        <f>AVERAGE(F41,F43)</f>
        <v>49.74732559884656</v>
      </c>
      <c r="G44" s="255">
        <f>AVERAGE(G41,G43)</f>
        <v>64.5172139445593</v>
      </c>
      <c r="H44" s="255">
        <f>AVERAGE(H41,H43)</f>
        <v>62.429139204140895</v>
      </c>
      <c r="I44" s="255">
        <f>AVERAGE(I41,I43)</f>
        <v>53.86163531971289</v>
      </c>
    </row>
    <row r="45" spans="5:9" ht="12.75">
      <c r="E45" s="247"/>
      <c r="F45" s="247"/>
      <c r="G45" s="247"/>
      <c r="H45" s="247"/>
      <c r="I45" s="247"/>
    </row>
    <row r="46" spans="3:9" ht="38.25">
      <c r="C46" s="19" t="s">
        <v>22</v>
      </c>
      <c r="D46" s="19"/>
      <c r="E46" s="247"/>
      <c r="F46" s="247"/>
      <c r="G46" s="247"/>
      <c r="H46" s="247"/>
      <c r="I46" s="247"/>
    </row>
    <row r="47" spans="1:9" ht="12.75">
      <c r="A47" t="s">
        <v>8</v>
      </c>
      <c r="B47" t="s">
        <v>38</v>
      </c>
      <c r="D47" s="20"/>
      <c r="E47" s="250">
        <f>E19*100/100</f>
        <v>0.1529728</v>
      </c>
      <c r="F47" s="250">
        <f>F19*100/100</f>
        <v>0.067488</v>
      </c>
      <c r="G47" s="250">
        <f>G19*100/100</f>
        <v>0.022496000000000002</v>
      </c>
      <c r="H47" s="250">
        <f>H19*100/100</f>
        <v>0.0269952</v>
      </c>
      <c r="I47" s="250">
        <f>I19*100/100</f>
        <v>0.0517408</v>
      </c>
    </row>
    <row r="48" spans="1:9" ht="12.75">
      <c r="A48" t="s">
        <v>8</v>
      </c>
      <c r="B48" t="s">
        <v>24</v>
      </c>
      <c r="D48" s="21"/>
      <c r="E48" s="249">
        <f>E18*E44/100</f>
        <v>2.2530846754373393</v>
      </c>
      <c r="F48" s="249">
        <f>F18*F44/100</f>
        <v>1.4296187441294126</v>
      </c>
      <c r="G48" s="249">
        <f>G18*G44/100</f>
        <v>0.6180232958177225</v>
      </c>
      <c r="H48" s="249">
        <f>H18*H44/100</f>
        <v>0.7176254523171677</v>
      </c>
      <c r="I48" s="249">
        <f>I18*I44/100</f>
        <v>1.1866881672255658</v>
      </c>
    </row>
    <row r="49" spans="2:9" ht="12.75">
      <c r="B49" t="s">
        <v>25</v>
      </c>
      <c r="E49" s="105">
        <f>SUM(E47:E48)</f>
        <v>2.4060574754373394</v>
      </c>
      <c r="F49" s="105">
        <f>SUM(F47:F48)</f>
        <v>1.4971067441294126</v>
      </c>
      <c r="G49" s="105">
        <f>SUM(G47:G48)</f>
        <v>0.6405192958177225</v>
      </c>
      <c r="H49" s="105">
        <f>SUM(H47:H48)</f>
        <v>0.7446206523171677</v>
      </c>
      <c r="I49" s="105">
        <f>SUM(I47:I48)</f>
        <v>1.2384289672255657</v>
      </c>
    </row>
    <row r="50" spans="1:9" ht="12.75">
      <c r="A50" s="71" t="s">
        <v>52</v>
      </c>
      <c r="E50" s="248">
        <f>E49*(240/365)/70</f>
        <v>0.022600931276123736</v>
      </c>
      <c r="F50" s="248">
        <f>F49*(240/365)/70</f>
        <v>0.014062842214914245</v>
      </c>
      <c r="G50" s="248">
        <f>G49*(240/365)/70</f>
        <v>0.006016619608463929</v>
      </c>
      <c r="H50" s="248">
        <f>H49*(240/365)/70</f>
        <v>0.0069944797086544126</v>
      </c>
      <c r="I50" s="248">
        <f>I49*(240/365)/70</f>
        <v>0.01163299225573917</v>
      </c>
    </row>
    <row r="51" spans="5:9" ht="12.75">
      <c r="E51" s="247"/>
      <c r="F51" s="247"/>
      <c r="G51" s="247"/>
      <c r="H51" s="247"/>
      <c r="I51" s="247"/>
    </row>
    <row r="52" spans="2:9" ht="12.75">
      <c r="B52" s="6" t="s">
        <v>14</v>
      </c>
      <c r="E52" s="247"/>
      <c r="F52" s="247"/>
      <c r="G52" s="247"/>
      <c r="H52" s="247"/>
      <c r="I52" s="247"/>
    </row>
    <row r="53" spans="1:9" ht="12.75">
      <c r="A53" t="s">
        <v>8</v>
      </c>
      <c r="B53" t="s">
        <v>26</v>
      </c>
      <c r="E53" s="253">
        <v>230</v>
      </c>
      <c r="F53" s="253">
        <v>207</v>
      </c>
      <c r="G53" s="253">
        <v>207</v>
      </c>
      <c r="H53" s="253">
        <v>66</v>
      </c>
      <c r="I53" s="253">
        <v>180.5</v>
      </c>
    </row>
    <row r="54" spans="1:9" ht="12.75">
      <c r="A54" t="s">
        <v>8</v>
      </c>
      <c r="B54" t="s">
        <v>27</v>
      </c>
      <c r="E54" s="256">
        <f>E53*0.03/100</f>
        <v>0.06899999999999999</v>
      </c>
      <c r="F54" s="256">
        <f>F53*0.03/100</f>
        <v>0.0621</v>
      </c>
      <c r="G54" s="256">
        <f>G53*0.03/100</f>
        <v>0.0621</v>
      </c>
      <c r="H54" s="256">
        <f>H53*0.03/100</f>
        <v>0.019799999999999998</v>
      </c>
      <c r="I54" s="256">
        <f>I53*0.03/100</f>
        <v>0.054150000000000004</v>
      </c>
    </row>
    <row r="55" spans="1:9" ht="12.75">
      <c r="A55" s="71" t="s">
        <v>52</v>
      </c>
      <c r="E55" s="257">
        <f>E54*(240/365)/70</f>
        <v>0.0006481409001956946</v>
      </c>
      <c r="F55" s="257">
        <f>F54*(240/365)/70</f>
        <v>0.0005833268101761253</v>
      </c>
      <c r="G55" s="257">
        <f>G54*(240/365)/70</f>
        <v>0.0005833268101761253</v>
      </c>
      <c r="H55" s="257">
        <f>H54*(240/365)/70</f>
        <v>0.0001859882583170254</v>
      </c>
      <c r="I55" s="257">
        <f>I54*(240/365)/70</f>
        <v>0.0005086497064579256</v>
      </c>
    </row>
    <row r="56" spans="1:9" s="25" customFormat="1" ht="12.75">
      <c r="A56" s="84"/>
      <c r="E56" s="259"/>
      <c r="F56" s="259"/>
      <c r="G56" s="259"/>
      <c r="H56" s="259"/>
      <c r="I56" s="260"/>
    </row>
    <row r="57" spans="1:9" s="25" customFormat="1" ht="13.5" thickBot="1">
      <c r="A57" s="84"/>
      <c r="B57" s="6" t="s">
        <v>54</v>
      </c>
      <c r="E57" s="259"/>
      <c r="F57" s="259"/>
      <c r="G57" s="259"/>
      <c r="H57" s="259"/>
      <c r="I57" s="260"/>
    </row>
    <row r="58" spans="1:9" ht="12.75">
      <c r="A58" s="185" t="s">
        <v>8</v>
      </c>
      <c r="B58" s="333" t="s">
        <v>28</v>
      </c>
      <c r="C58" s="333"/>
      <c r="D58" s="333"/>
      <c r="E58" s="261">
        <f>(E47+E48+E54)*240/365</f>
        <v>1.6274350523423602</v>
      </c>
      <c r="F58" s="261">
        <f>(F47+F48+F54)*240/365</f>
        <v>1.025231831756326</v>
      </c>
      <c r="G58" s="261">
        <f>(G47+G48+G54)*240/365</f>
        <v>0.4619962493048039</v>
      </c>
      <c r="H58" s="261">
        <f>(H47+H48+H54)*240/365</f>
        <v>0.5026327576880008</v>
      </c>
      <c r="I58" s="261">
        <f>(I47+I48+I54)*240/365</f>
        <v>0.8499149373537965</v>
      </c>
    </row>
    <row r="59" spans="1:9" ht="12.75">
      <c r="A59" s="178" t="s">
        <v>39</v>
      </c>
      <c r="B59" s="23"/>
      <c r="C59" s="23"/>
      <c r="D59" s="23"/>
      <c r="E59" s="262">
        <f>E58/70</f>
        <v>0.02324907217631943</v>
      </c>
      <c r="F59" s="262">
        <f>F58/70</f>
        <v>0.014646169025090371</v>
      </c>
      <c r="G59" s="262">
        <f>G58/70</f>
        <v>0.0065999464186400555</v>
      </c>
      <c r="H59" s="262">
        <f>H58/70</f>
        <v>0.007180467966971439</v>
      </c>
      <c r="I59" s="262">
        <f>I58/70</f>
        <v>0.012141641962197093</v>
      </c>
    </row>
    <row r="60" spans="1:9" ht="13.5" thickBot="1">
      <c r="A60" s="37"/>
      <c r="B60" s="39"/>
      <c r="C60" s="38" t="s">
        <v>40</v>
      </c>
      <c r="D60" s="39"/>
      <c r="E60" s="263">
        <f>4.075/E59</f>
        <v>175.27581183005793</v>
      </c>
      <c r="F60" s="263">
        <f>4.075/F59</f>
        <v>278.22975366589804</v>
      </c>
      <c r="G60" s="263">
        <f>4.075/G59</f>
        <v>617.4292549544167</v>
      </c>
      <c r="H60" s="263">
        <f>4.075/H59</f>
        <v>567.5117581116018</v>
      </c>
      <c r="I60" s="263">
        <f>4.075/I59</f>
        <v>335.6218222121424</v>
      </c>
    </row>
    <row r="61" spans="5:9" ht="12.75">
      <c r="E61" s="247"/>
      <c r="F61" s="247"/>
      <c r="G61" s="247"/>
      <c r="H61" s="247"/>
      <c r="I61" s="247"/>
    </row>
    <row r="62" spans="1:14" ht="12.75">
      <c r="A62" s="32"/>
      <c r="B62" s="33" t="s">
        <v>55</v>
      </c>
      <c r="C62" s="32"/>
      <c r="D62" s="32"/>
      <c r="E62" s="264"/>
      <c r="F62" s="264"/>
      <c r="G62" s="264"/>
      <c r="H62" s="264"/>
      <c r="I62" s="191"/>
      <c r="J62" s="25"/>
      <c r="K62" s="25"/>
      <c r="L62" s="25"/>
      <c r="M62" s="25"/>
      <c r="N62" s="25"/>
    </row>
    <row r="63" spans="1:9" ht="12.75">
      <c r="A63" t="s">
        <v>8</v>
      </c>
      <c r="B63" t="s">
        <v>29</v>
      </c>
      <c r="E63" s="265">
        <v>2.35</v>
      </c>
      <c r="F63" s="265">
        <v>2.35</v>
      </c>
      <c r="G63" s="265">
        <v>2.35</v>
      </c>
      <c r="H63" s="265">
        <v>2.35</v>
      </c>
      <c r="I63" s="265">
        <v>2.35</v>
      </c>
    </row>
    <row r="64" spans="1:9" ht="12.75">
      <c r="A64" t="s">
        <v>8</v>
      </c>
      <c r="B64" t="s">
        <v>41</v>
      </c>
      <c r="E64" s="266">
        <v>0.093</v>
      </c>
      <c r="F64" s="266">
        <v>0.093</v>
      </c>
      <c r="G64" s="266">
        <v>0.093</v>
      </c>
      <c r="H64" s="266">
        <v>0.093</v>
      </c>
      <c r="I64" s="266">
        <v>0.093</v>
      </c>
    </row>
    <row r="65" spans="1:9" ht="12.75">
      <c r="A65" t="s">
        <v>8</v>
      </c>
      <c r="B65" t="s">
        <v>30</v>
      </c>
      <c r="E65" s="266">
        <v>0.001</v>
      </c>
      <c r="F65" s="266">
        <v>0.001</v>
      </c>
      <c r="G65" s="266">
        <v>0.001</v>
      </c>
      <c r="H65" s="266">
        <v>0.001</v>
      </c>
      <c r="I65" s="266">
        <v>0.001</v>
      </c>
    </row>
    <row r="66" spans="1:9" ht="12.75">
      <c r="A66" t="s">
        <v>8</v>
      </c>
      <c r="B66" t="s">
        <v>31</v>
      </c>
      <c r="E66" s="267">
        <v>0.28</v>
      </c>
      <c r="F66" s="267">
        <v>0.28</v>
      </c>
      <c r="G66" s="267">
        <v>0.28</v>
      </c>
      <c r="H66" s="267">
        <v>0.28</v>
      </c>
      <c r="I66" s="267">
        <v>0.28</v>
      </c>
    </row>
    <row r="67" spans="5:9" ht="12.75">
      <c r="E67" s="260"/>
      <c r="F67" s="260"/>
      <c r="G67" s="260"/>
      <c r="H67" s="260"/>
      <c r="I67" s="260"/>
    </row>
    <row r="68" spans="5:9" ht="12.75">
      <c r="E68" s="268">
        <f>63.2-15*LN(E18+E63)</f>
        <v>30.47027173421594</v>
      </c>
      <c r="F68" s="268">
        <f>63.2-15*LN(F18+F63)</f>
        <v>38.40173826332408</v>
      </c>
      <c r="G68" s="268">
        <f>63.2-15*LN(G18+G63)</f>
        <v>45.25520610391766</v>
      </c>
      <c r="H68" s="268">
        <f>63.2-15*LN(H18+H63)</f>
        <v>44.41068133749147</v>
      </c>
      <c r="I68" s="268">
        <f>63.2-15*LN(I18+I63)</f>
        <v>40.462493052876894</v>
      </c>
    </row>
    <row r="69" spans="5:9" ht="12.75">
      <c r="E69" s="254">
        <f>-0.1167*(E18+E63)</f>
        <v>-1.0344119952</v>
      </c>
      <c r="F69" s="254">
        <f>-0.1167*(F18+F63)</f>
        <v>-0.609612792</v>
      </c>
      <c r="G69" s="254">
        <f>-0.1167*(G18+G63)</f>
        <v>-0.386034264</v>
      </c>
      <c r="H69" s="254">
        <f>-0.1167*(H18+H63)</f>
        <v>-0.4083921168</v>
      </c>
      <c r="I69" s="254">
        <f>-0.1167*(I18+I63)</f>
        <v>-0.5313603072</v>
      </c>
    </row>
    <row r="70" spans="5:9" ht="12.75">
      <c r="E70" s="268">
        <f>72.9*EXP(E69)</f>
        <v>25.911234621237938</v>
      </c>
      <c r="F70" s="268">
        <f>72.9*EXP(F69)</f>
        <v>39.625618741961034</v>
      </c>
      <c r="G70" s="268">
        <f>72.9*EXP(G69)</f>
        <v>49.553573389367976</v>
      </c>
      <c r="H70" s="268">
        <f>72.9*EXP(H69)</f>
        <v>48.45795536193444</v>
      </c>
      <c r="I70" s="268">
        <f>72.9*EXP(I69)</f>
        <v>42.8509721391571</v>
      </c>
    </row>
    <row r="71" spans="3:9" ht="12.75">
      <c r="C71" s="14" t="s">
        <v>21</v>
      </c>
      <c r="E71" s="255">
        <f>AVERAGE(E68,E70)</f>
        <v>28.19075317772694</v>
      </c>
      <c r="F71" s="255">
        <f>AVERAGE(F68,F70)</f>
        <v>39.013678502642556</v>
      </c>
      <c r="G71" s="255">
        <f>AVERAGE(G68,G70)</f>
        <v>47.40438974664282</v>
      </c>
      <c r="H71" s="255">
        <f>AVERAGE(H68,H70)</f>
        <v>46.43431834971295</v>
      </c>
      <c r="I71" s="255">
        <f>AVERAGE(I68,I70)</f>
        <v>41.656732596016994</v>
      </c>
    </row>
    <row r="72" spans="3:9" s="25" customFormat="1" ht="12.75">
      <c r="C72" s="196"/>
      <c r="E72" s="268"/>
      <c r="F72" s="268"/>
      <c r="G72" s="268"/>
      <c r="H72" s="268"/>
      <c r="I72" s="260"/>
    </row>
    <row r="73" spans="1:14" ht="12.75">
      <c r="A73" s="32"/>
      <c r="B73" s="33" t="s">
        <v>32</v>
      </c>
      <c r="C73" s="32"/>
      <c r="D73" s="32"/>
      <c r="E73" s="264"/>
      <c r="F73" s="264"/>
      <c r="G73" s="264"/>
      <c r="H73" s="264"/>
      <c r="I73" s="264"/>
      <c r="J73" s="25"/>
      <c r="K73" s="25"/>
      <c r="L73" s="25"/>
      <c r="M73" s="25"/>
      <c r="N73" s="25"/>
    </row>
    <row r="74" spans="1:9" ht="12.75">
      <c r="A74" t="s">
        <v>8</v>
      </c>
      <c r="B74" t="s">
        <v>86</v>
      </c>
      <c r="D74" s="20"/>
      <c r="E74" s="269">
        <f>E63*E71/100</f>
        <v>0.6624826996765831</v>
      </c>
      <c r="F74" s="269">
        <f>F63*F71/100</f>
        <v>0.9168214448121</v>
      </c>
      <c r="G74" s="269">
        <f>G63*G71/100</f>
        <v>1.1140031590461064</v>
      </c>
      <c r="H74" s="269">
        <f>H63*H71/100</f>
        <v>1.0912064812182545</v>
      </c>
      <c r="I74" s="269">
        <f>I63*I71/100</f>
        <v>0.9789332160063994</v>
      </c>
    </row>
    <row r="75" spans="1:9" ht="12.75">
      <c r="A75" t="s">
        <v>8</v>
      </c>
      <c r="B75" t="s">
        <v>87</v>
      </c>
      <c r="D75" s="21"/>
      <c r="E75" s="266">
        <f>(E64+E65)*1</f>
        <v>0.094</v>
      </c>
      <c r="F75" s="266">
        <f>(F64+F65)*1</f>
        <v>0.094</v>
      </c>
      <c r="G75" s="266">
        <f>(G64+G65)*1</f>
        <v>0.094</v>
      </c>
      <c r="H75" s="266">
        <f>(H64+H65)*1</f>
        <v>0.094</v>
      </c>
      <c r="I75" s="266">
        <f>(I64+I65)*1</f>
        <v>0.094</v>
      </c>
    </row>
    <row r="76" spans="1:9" ht="12.75">
      <c r="A76" t="s">
        <v>8</v>
      </c>
      <c r="B76" t="s">
        <v>88</v>
      </c>
      <c r="D76" s="7"/>
      <c r="E76" s="165">
        <f>E66*0.3/100</f>
        <v>0.00084</v>
      </c>
      <c r="F76" s="165">
        <f>F66*0.3/100</f>
        <v>0.00084</v>
      </c>
      <c r="G76" s="165">
        <f>G66*0.3/100</f>
        <v>0.00084</v>
      </c>
      <c r="H76" s="165">
        <f>H66*0.3/100</f>
        <v>0.00084</v>
      </c>
      <c r="I76" s="165">
        <f>I66*0.3/100</f>
        <v>0.00084</v>
      </c>
    </row>
    <row r="77" spans="1:9" ht="12.75">
      <c r="A77" s="41" t="s">
        <v>8</v>
      </c>
      <c r="B77" s="41" t="s">
        <v>89</v>
      </c>
      <c r="C77" s="41"/>
      <c r="D77" s="41"/>
      <c r="E77" s="310">
        <f>SUM(E74:E76)</f>
        <v>0.757322699676583</v>
      </c>
      <c r="F77" s="310">
        <f>SUM(F74:F76)</f>
        <v>1.0116614448121</v>
      </c>
      <c r="G77" s="310">
        <f>SUM(G74:G76)</f>
        <v>1.2088431590461064</v>
      </c>
      <c r="H77" s="310">
        <f>SUM(H74:H76)</f>
        <v>1.1860464812182545</v>
      </c>
      <c r="I77" s="310">
        <f>SUM(I74:I76)</f>
        <v>1.0737732160063993</v>
      </c>
    </row>
    <row r="78" spans="1:9" ht="12.75">
      <c r="A78" s="24" t="s">
        <v>39</v>
      </c>
      <c r="B78" s="24" t="s">
        <v>89</v>
      </c>
      <c r="C78" s="41"/>
      <c r="D78" s="41"/>
      <c r="E78" s="72">
        <f>E77/70</f>
        <v>0.010818895709665472</v>
      </c>
      <c r="F78" s="72">
        <f>F77/70</f>
        <v>0.014452306354458572</v>
      </c>
      <c r="G78" s="72">
        <f>G77/70</f>
        <v>0.017269187986372947</v>
      </c>
      <c r="H78" s="72">
        <f>H77/70</f>
        <v>0.01694352116026078</v>
      </c>
      <c r="I78" s="72">
        <f>I77/70</f>
        <v>0.01533961737151999</v>
      </c>
    </row>
    <row r="79" spans="1:9" ht="12.75">
      <c r="A79" s="24"/>
      <c r="B79" s="24"/>
      <c r="E79" s="270"/>
      <c r="F79" s="270"/>
      <c r="G79" s="270"/>
      <c r="H79" s="270"/>
      <c r="I79" s="270"/>
    </row>
    <row r="80" spans="1:9" ht="12.75">
      <c r="A80" t="s">
        <v>8</v>
      </c>
      <c r="B80" t="s">
        <v>90</v>
      </c>
      <c r="E80" s="317">
        <f>E71*E18*(240/365)/(100)</f>
        <v>1.2074334689178456</v>
      </c>
      <c r="F80" s="317">
        <f>F71*F18*(240/365)/(100)</f>
        <v>0.7372007587972869</v>
      </c>
      <c r="G80" s="317">
        <f>G71*G18*(240/365)/(100)</f>
        <v>0.29858375688397204</v>
      </c>
      <c r="H80" s="317">
        <f>H71*H18*(240/365)/(100)</f>
        <v>0.35096833762368285</v>
      </c>
      <c r="I80" s="317">
        <f>I71*I18*(240/365)/(100)</f>
        <v>0.6034769080324351</v>
      </c>
    </row>
    <row r="81" spans="1:9" ht="12.75">
      <c r="A81" t="s">
        <v>8</v>
      </c>
      <c r="B81" t="s">
        <v>91</v>
      </c>
      <c r="E81" s="318">
        <f>E53*0.03*(240/365)/(100)</f>
        <v>0.04536986301369862</v>
      </c>
      <c r="F81" s="318">
        <f>F53*0.03*(240/365)/(100)</f>
        <v>0.04083287671232877</v>
      </c>
      <c r="G81" s="318">
        <f>G53*0.03*(240/365)/(100)</f>
        <v>0.04083287671232877</v>
      </c>
      <c r="H81" s="318">
        <f>H53*0.03*(240/365)/(100)</f>
        <v>0.01301917808219178</v>
      </c>
      <c r="I81" s="318">
        <f>I53*0.03*(240/365)/(100)</f>
        <v>0.03560547945205479</v>
      </c>
    </row>
    <row r="82" spans="1:9" ht="12.75">
      <c r="A82" t="s">
        <v>8</v>
      </c>
      <c r="B82" t="s">
        <v>92</v>
      </c>
      <c r="E82" s="319">
        <f>E47*(240/365)</f>
        <v>0.10058485479452053</v>
      </c>
      <c r="F82" s="319">
        <f>F47*(240/365)</f>
        <v>0.044375671232876716</v>
      </c>
      <c r="G82" s="319">
        <f>G47*(240/365)</f>
        <v>0.014791890410958904</v>
      </c>
      <c r="H82" s="319">
        <f>H47*(240/365)</f>
        <v>0.017750268493150683</v>
      </c>
      <c r="I82" s="319">
        <f>I47*(240/365)</f>
        <v>0.03402134794520548</v>
      </c>
    </row>
    <row r="83" spans="1:9" ht="12.75">
      <c r="A83" s="41" t="s">
        <v>8</v>
      </c>
      <c r="B83" s="41" t="s">
        <v>93</v>
      </c>
      <c r="C83" s="41"/>
      <c r="D83" s="41"/>
      <c r="E83" s="310">
        <f>SUM(E80:E82)</f>
        <v>1.3533881867260649</v>
      </c>
      <c r="F83" s="310">
        <f>SUM(F80:F82)</f>
        <v>0.8224093067424922</v>
      </c>
      <c r="G83" s="310">
        <f>SUM(G80:G82)</f>
        <v>0.3542085240072597</v>
      </c>
      <c r="H83" s="310">
        <f>SUM(H80:H82)</f>
        <v>0.3817377841990253</v>
      </c>
      <c r="I83" s="310">
        <f>SUM(I80:I82)</f>
        <v>0.6731037354296955</v>
      </c>
    </row>
    <row r="84" spans="1:9" ht="12.75">
      <c r="A84" s="24" t="s">
        <v>39</v>
      </c>
      <c r="B84" s="24" t="s">
        <v>93</v>
      </c>
      <c r="C84" s="24"/>
      <c r="D84" s="24"/>
      <c r="E84" s="72">
        <f>E83/70</f>
        <v>0.019334116953229497</v>
      </c>
      <c r="F84" s="72">
        <f>F83/70</f>
        <v>0.011748704382035603</v>
      </c>
      <c r="G84" s="72">
        <f>G83/70</f>
        <v>0.0050601217715322815</v>
      </c>
      <c r="H84" s="72">
        <f>H83/70</f>
        <v>0.005453396917128933</v>
      </c>
      <c r="I84" s="72">
        <f>I83/70</f>
        <v>0.00961576764899565</v>
      </c>
    </row>
    <row r="85" spans="5:9" ht="13.5" thickBot="1">
      <c r="E85" s="247"/>
      <c r="F85" s="247"/>
      <c r="G85" s="247"/>
      <c r="H85" s="247"/>
      <c r="I85" s="247"/>
    </row>
    <row r="86" spans="1:9" ht="12.75">
      <c r="A86" s="45" t="s">
        <v>8</v>
      </c>
      <c r="B86" s="332" t="s">
        <v>32</v>
      </c>
      <c r="C86" s="333"/>
      <c r="D86" s="333"/>
      <c r="E86" s="42">
        <f>E77+E83</f>
        <v>2.110710886402648</v>
      </c>
      <c r="F86" s="42">
        <f>F77+F83</f>
        <v>1.8340707515545922</v>
      </c>
      <c r="G86" s="42">
        <f>G77+G83</f>
        <v>1.563051683053366</v>
      </c>
      <c r="H86" s="42">
        <f>H77+H83</f>
        <v>1.5677842654172798</v>
      </c>
      <c r="I86" s="42">
        <f>I77+I83</f>
        <v>1.7468769514360947</v>
      </c>
    </row>
    <row r="87" spans="1:9" ht="12.75">
      <c r="A87" s="36" t="s">
        <v>39</v>
      </c>
      <c r="B87" s="35"/>
      <c r="C87" s="23"/>
      <c r="D87" s="23"/>
      <c r="E87" s="43">
        <f>E86/70</f>
        <v>0.030153012662894968</v>
      </c>
      <c r="F87" s="43">
        <f>F86/70</f>
        <v>0.026201010736494175</v>
      </c>
      <c r="G87" s="43">
        <f>G86/70</f>
        <v>0.02232930975790523</v>
      </c>
      <c r="H87" s="43">
        <f>H86/70</f>
        <v>0.02239691807738971</v>
      </c>
      <c r="I87" s="43">
        <f>I86/70</f>
        <v>0.024955385020515638</v>
      </c>
    </row>
    <row r="88" spans="2:9" ht="13.5" thickBot="1">
      <c r="B88" s="37"/>
      <c r="C88" s="38" t="s">
        <v>40</v>
      </c>
      <c r="D88" s="39"/>
      <c r="E88" s="271">
        <f>4.075/E87</f>
        <v>135.14404167695403</v>
      </c>
      <c r="F88" s="271">
        <f>4.075/F87</f>
        <v>155.5283512144866</v>
      </c>
      <c r="G88" s="271">
        <f>4.075/G87</f>
        <v>182.49556498526923</v>
      </c>
      <c r="H88" s="271">
        <f>4.075/H87</f>
        <v>181.9446758665346</v>
      </c>
      <c r="I88" s="271">
        <f>4.075/I87</f>
        <v>163.2914097157777</v>
      </c>
    </row>
  </sheetData>
  <sheetProtection/>
  <mergeCells count="2">
    <mergeCell ref="B58:D58"/>
    <mergeCell ref="B86:D8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51">
      <selection activeCell="A2" sqref="A2"/>
    </sheetView>
  </sheetViews>
  <sheetFormatPr defaultColWidth="9.140625" defaultRowHeight="12.75"/>
  <cols>
    <col min="3" max="3" width="13.7109375" style="0" customWidth="1"/>
    <col min="4" max="4" width="12.140625" style="0" customWidth="1"/>
    <col min="5" max="5" width="11.28125" style="206" customWidth="1"/>
    <col min="6" max="6" width="10.57421875" style="206" customWidth="1"/>
    <col min="7" max="7" width="10.8515625" style="206" customWidth="1"/>
    <col min="8" max="8" width="10.57421875" style="206" customWidth="1"/>
    <col min="9" max="9" width="9.140625" style="206" customWidth="1"/>
  </cols>
  <sheetData>
    <row r="1" spans="1:10" ht="12.75">
      <c r="A1" s="1" t="s">
        <v>99</v>
      </c>
      <c r="B1" s="1"/>
      <c r="C1" s="1"/>
      <c r="D1" s="2"/>
      <c r="E1" s="205"/>
      <c r="F1" s="205"/>
      <c r="G1" s="205"/>
      <c r="H1" s="205"/>
      <c r="I1" s="205"/>
      <c r="J1" s="2"/>
    </row>
    <row r="2" spans="1:10" ht="12.75">
      <c r="A2" s="1" t="s">
        <v>33</v>
      </c>
      <c r="B2" s="1"/>
      <c r="C2" s="1"/>
      <c r="D2" s="2"/>
      <c r="E2" s="205"/>
      <c r="F2" s="205"/>
      <c r="G2" s="205"/>
      <c r="H2" s="205"/>
      <c r="I2" s="205"/>
      <c r="J2" s="2"/>
    </row>
    <row r="3" spans="2:8" ht="12.75">
      <c r="B3" s="75" t="s">
        <v>1</v>
      </c>
      <c r="C3" s="15" t="s">
        <v>2</v>
      </c>
      <c r="D3" s="76" t="s">
        <v>3</v>
      </c>
      <c r="E3" t="s">
        <v>48</v>
      </c>
      <c r="F3" t="s">
        <v>48</v>
      </c>
      <c r="G3" t="s">
        <v>49</v>
      </c>
      <c r="H3" t="s">
        <v>50</v>
      </c>
    </row>
    <row r="4" spans="5:9" ht="12.75">
      <c r="E4" t="s">
        <v>42</v>
      </c>
      <c r="F4" t="s">
        <v>43</v>
      </c>
      <c r="G4" t="s">
        <v>44</v>
      </c>
      <c r="H4" t="s">
        <v>45</v>
      </c>
      <c r="I4" t="s">
        <v>46</v>
      </c>
    </row>
    <row r="5" spans="1:9" s="25" customFormat="1" ht="12.75">
      <c r="A5" s="32"/>
      <c r="B5" s="33" t="s">
        <v>53</v>
      </c>
      <c r="C5" s="32"/>
      <c r="D5" s="32"/>
      <c r="E5" s="207"/>
      <c r="F5" s="209"/>
      <c r="G5" s="209"/>
      <c r="H5" s="209"/>
      <c r="I5" s="209"/>
    </row>
    <row r="6" spans="2:9" s="25" customFormat="1" ht="12.75">
      <c r="B6" s="74" t="s">
        <v>4</v>
      </c>
      <c r="E6" s="208"/>
      <c r="F6" s="210"/>
      <c r="G6" s="210"/>
      <c r="H6" s="210"/>
      <c r="I6" s="210"/>
    </row>
    <row r="7" spans="1:9" ht="12.75">
      <c r="A7" t="s">
        <v>6</v>
      </c>
      <c r="B7" t="s">
        <v>5</v>
      </c>
      <c r="E7" s="120">
        <v>1.43</v>
      </c>
      <c r="F7" s="120">
        <v>0.8</v>
      </c>
      <c r="G7" s="120">
        <v>0.76</v>
      </c>
      <c r="H7" s="120">
        <v>0.31</v>
      </c>
      <c r="I7" s="120">
        <v>0.82</v>
      </c>
    </row>
    <row r="8" spans="5:9" ht="12.75">
      <c r="E8" s="246"/>
      <c r="F8" s="247"/>
      <c r="G8" s="247"/>
      <c r="H8" s="247"/>
      <c r="I8" s="247"/>
    </row>
    <row r="9" spans="1:9" ht="12.75">
      <c r="A9" t="s">
        <v>8</v>
      </c>
      <c r="B9" t="s">
        <v>7</v>
      </c>
      <c r="E9" s="246">
        <f>E7*10</f>
        <v>14.299999999999999</v>
      </c>
      <c r="F9" s="246">
        <f>F7*10</f>
        <v>8</v>
      </c>
      <c r="G9" s="246">
        <f>G7*10</f>
        <v>7.6</v>
      </c>
      <c r="H9" s="246">
        <f>H7*10</f>
        <v>3.1</v>
      </c>
      <c r="I9" s="246">
        <f>I7*10</f>
        <v>8.2</v>
      </c>
    </row>
    <row r="10" spans="1:9" ht="12.75">
      <c r="A10" t="s">
        <v>9</v>
      </c>
      <c r="C10" t="s">
        <v>96</v>
      </c>
      <c r="D10" s="9"/>
      <c r="E10" s="246">
        <f>0.48*E9</f>
        <v>6.863999999999999</v>
      </c>
      <c r="F10" s="246">
        <f>0.48*F9</f>
        <v>3.84</v>
      </c>
      <c r="G10" s="246">
        <f>0.48*G9</f>
        <v>3.6479999999999997</v>
      </c>
      <c r="H10" s="246">
        <f>0.48*H9</f>
        <v>1.488</v>
      </c>
      <c r="I10" s="246">
        <f>0.48*I9</f>
        <v>3.9359999999999995</v>
      </c>
    </row>
    <row r="11" spans="1:9" ht="12.75">
      <c r="A11" t="s">
        <v>9</v>
      </c>
      <c r="C11" t="s">
        <v>97</v>
      </c>
      <c r="D11" s="9"/>
      <c r="E11" s="246">
        <f>0.36*E9</f>
        <v>5.148</v>
      </c>
      <c r="F11" s="246">
        <f>0.36*F9</f>
        <v>2.88</v>
      </c>
      <c r="G11" s="246">
        <f>0.36*G9</f>
        <v>2.7359999999999998</v>
      </c>
      <c r="H11" s="246">
        <f>0.36*H9</f>
        <v>1.1159999999999999</v>
      </c>
      <c r="I11" s="246">
        <f>0.36*I9</f>
        <v>2.9519999999999995</v>
      </c>
    </row>
    <row r="12" spans="1:9" ht="12.75">
      <c r="A12" t="s">
        <v>9</v>
      </c>
      <c r="C12" t="s">
        <v>98</v>
      </c>
      <c r="D12" s="9"/>
      <c r="E12" s="246">
        <f>0.16*E9</f>
        <v>2.288</v>
      </c>
      <c r="F12" s="246">
        <f>0.16*F9</f>
        <v>1.28</v>
      </c>
      <c r="G12" s="246">
        <f>0.16*G9</f>
        <v>1.216</v>
      </c>
      <c r="H12" s="246">
        <f>0.16*H9</f>
        <v>0.49600000000000005</v>
      </c>
      <c r="I12" s="246">
        <f>0.16*I9</f>
        <v>1.3119999999999998</v>
      </c>
    </row>
    <row r="13" spans="5:9" ht="12.75">
      <c r="E13" s="86"/>
      <c r="F13" s="86"/>
      <c r="G13" s="86"/>
      <c r="H13" s="86"/>
      <c r="I13" s="86"/>
    </row>
    <row r="14" spans="1:9" ht="12.75">
      <c r="A14" t="s">
        <v>9</v>
      </c>
      <c r="B14" t="s">
        <v>10</v>
      </c>
      <c r="E14" s="105">
        <f>0.997*E10+0.942*E11+0.797*E12</f>
        <v>13.516359999999999</v>
      </c>
      <c r="F14" s="105">
        <f>0.997*F10+0.942*F11+0.797*F12</f>
        <v>7.5616</v>
      </c>
      <c r="G14" s="105">
        <f>0.997*G10+0.942*G11+0.797*G12</f>
        <v>7.18352</v>
      </c>
      <c r="H14" s="105">
        <f>0.997*H10+0.942*H11+0.797*H12</f>
        <v>2.93012</v>
      </c>
      <c r="I14" s="105">
        <f>0.997*I10+0.942*I11+0.797*I12</f>
        <v>7.750639999999999</v>
      </c>
    </row>
    <row r="15" spans="1:9" ht="12.75">
      <c r="A15" t="s">
        <v>9</v>
      </c>
      <c r="B15" t="s">
        <v>11</v>
      </c>
      <c r="E15" s="248">
        <f>0.002*E10+0.018*E11+0.033*E12</f>
        <v>0.181896</v>
      </c>
      <c r="F15" s="248">
        <f>0.002*F10+0.018*F11+0.033*F12</f>
        <v>0.10175999999999999</v>
      </c>
      <c r="G15" s="248">
        <f>0.002*G10+0.018*G11+0.033*G12</f>
        <v>0.096672</v>
      </c>
      <c r="H15" s="248">
        <f>0.002*H10+0.018*H11+0.033*H12</f>
        <v>0.039431999999999995</v>
      </c>
      <c r="I15" s="248">
        <f>0.002*I10+0.018*I11+0.033*I12</f>
        <v>0.10430399999999998</v>
      </c>
    </row>
    <row r="16" spans="1:9" ht="12.75">
      <c r="A16" t="s">
        <v>9</v>
      </c>
      <c r="B16" t="s">
        <v>34</v>
      </c>
      <c r="E16" s="105">
        <f>0.0002*E10+0.028*E11+0.077*E12</f>
        <v>0.3216928</v>
      </c>
      <c r="F16" s="105">
        <f>0.0002*F10+0.028*F11+0.077*F12</f>
        <v>0.17996800000000002</v>
      </c>
      <c r="G16" s="105">
        <f>0.0002*G10+0.028*G11+0.077*G12</f>
        <v>0.1709696</v>
      </c>
      <c r="H16" s="105">
        <f>0.0002*H10+0.028*H11+0.077*H12</f>
        <v>0.06973760000000001</v>
      </c>
      <c r="I16" s="105">
        <f>0.0002*I10+0.028*I11+0.077*I12</f>
        <v>0.1844672</v>
      </c>
    </row>
    <row r="17" spans="5:9" ht="12.75">
      <c r="E17" s="105"/>
      <c r="F17" s="105"/>
      <c r="G17" s="105"/>
      <c r="H17" s="105"/>
      <c r="I17" s="105"/>
    </row>
    <row r="18" spans="1:9" ht="12.75">
      <c r="A18" t="s">
        <v>8</v>
      </c>
      <c r="B18" t="s">
        <v>12</v>
      </c>
      <c r="E18" s="249">
        <f>E14+E15</f>
        <v>13.698255999999999</v>
      </c>
      <c r="F18" s="249">
        <f>F14+F15</f>
        <v>7.66336</v>
      </c>
      <c r="G18" s="249">
        <f>G14+G15</f>
        <v>7.2801919999999996</v>
      </c>
      <c r="H18" s="249">
        <f>H14+H15</f>
        <v>2.969552</v>
      </c>
      <c r="I18" s="249">
        <f>I14+I15</f>
        <v>7.854943999999999</v>
      </c>
    </row>
    <row r="19" spans="1:9" ht="12.75">
      <c r="A19" t="s">
        <v>8</v>
      </c>
      <c r="B19" t="s">
        <v>13</v>
      </c>
      <c r="E19" s="250">
        <f>E16</f>
        <v>0.3216928</v>
      </c>
      <c r="F19" s="250">
        <f>F16</f>
        <v>0.17996800000000002</v>
      </c>
      <c r="G19" s="250">
        <f>G16</f>
        <v>0.1709696</v>
      </c>
      <c r="H19" s="250">
        <f>H16</f>
        <v>0.06973760000000001</v>
      </c>
      <c r="I19" s="250">
        <f>I16</f>
        <v>0.1844672</v>
      </c>
    </row>
    <row r="20" spans="5:9" ht="12.75">
      <c r="E20" s="247"/>
      <c r="F20" s="247"/>
      <c r="G20" s="247"/>
      <c r="H20" s="247"/>
      <c r="I20" s="247"/>
    </row>
    <row r="21" spans="2:9" ht="12.75" customHeight="1" hidden="1">
      <c r="B21" s="14" t="s">
        <v>14</v>
      </c>
      <c r="E21" s="86"/>
      <c r="F21" s="86"/>
      <c r="G21" s="86"/>
      <c r="H21" s="86"/>
      <c r="I21" s="86"/>
    </row>
    <row r="22" spans="2:9" ht="12.75" customHeight="1" hidden="1">
      <c r="B22" t="s">
        <v>15</v>
      </c>
      <c r="E22" s="86"/>
      <c r="F22" s="86"/>
      <c r="G22" s="86"/>
      <c r="H22" s="86"/>
      <c r="I22" s="86"/>
    </row>
    <row r="23" spans="5:9" ht="12.75" customHeight="1" hidden="1">
      <c r="E23" s="86"/>
      <c r="F23" s="86"/>
      <c r="G23" s="86"/>
      <c r="H23" s="86"/>
      <c r="I23" s="86"/>
    </row>
    <row r="24" spans="2:9" ht="12.75" customHeight="1" hidden="1">
      <c r="B24" s="14" t="s">
        <v>16</v>
      </c>
      <c r="E24" s="86"/>
      <c r="F24" s="86"/>
      <c r="G24" s="86"/>
      <c r="H24" s="86"/>
      <c r="I24" s="86"/>
    </row>
    <row r="25" spans="2:9" ht="12.75" customHeight="1" hidden="1">
      <c r="B25" t="s">
        <v>17</v>
      </c>
      <c r="E25" s="86">
        <v>2.25</v>
      </c>
      <c r="F25" s="86">
        <v>2.25</v>
      </c>
      <c r="G25" s="86">
        <v>2.25</v>
      </c>
      <c r="H25" s="86">
        <v>2.25</v>
      </c>
      <c r="I25" s="86">
        <v>2.25</v>
      </c>
    </row>
    <row r="26" spans="2:9" ht="12.75" customHeight="1" hidden="1">
      <c r="B26" t="s">
        <v>7</v>
      </c>
      <c r="E26" s="86">
        <v>0.001</v>
      </c>
      <c r="F26" s="86">
        <v>0.001</v>
      </c>
      <c r="G26" s="86">
        <v>0.001</v>
      </c>
      <c r="H26" s="86">
        <v>0.001</v>
      </c>
      <c r="I26" s="86">
        <v>0.001</v>
      </c>
    </row>
    <row r="27" spans="5:9" ht="12.75" customHeight="1" hidden="1">
      <c r="E27" s="86"/>
      <c r="F27" s="86"/>
      <c r="G27" s="86"/>
      <c r="H27" s="86"/>
      <c r="I27" s="86"/>
    </row>
    <row r="28" spans="5:9" ht="12.75" customHeight="1" hidden="1">
      <c r="E28" s="86"/>
      <c r="F28" s="86"/>
      <c r="G28" s="86"/>
      <c r="H28" s="86"/>
      <c r="I28" s="86"/>
    </row>
    <row r="29" spans="5:9" ht="12.75" customHeight="1" hidden="1">
      <c r="E29" s="86"/>
      <c r="F29" s="86"/>
      <c r="G29" s="86"/>
      <c r="H29" s="86"/>
      <c r="I29" s="86"/>
    </row>
    <row r="30" spans="2:9" ht="12.75" customHeight="1" hidden="1">
      <c r="B30" t="s">
        <v>18</v>
      </c>
      <c r="E30" s="251">
        <f>E19+H26</f>
        <v>0.3226928</v>
      </c>
      <c r="F30" s="251">
        <f>F19+I26</f>
        <v>0.18096800000000002</v>
      </c>
      <c r="G30" s="251">
        <f>G19+K26</f>
        <v>0.1709696</v>
      </c>
      <c r="H30" s="251">
        <f>H19+M26</f>
        <v>0.06973760000000001</v>
      </c>
      <c r="I30" s="251">
        <f>I19+O26</f>
        <v>0.1844672</v>
      </c>
    </row>
    <row r="31" spans="2:9" ht="12.75" customHeight="1" hidden="1">
      <c r="B31" t="s">
        <v>19</v>
      </c>
      <c r="E31" s="252">
        <f>E18+H25</f>
        <v>15.948255999999999</v>
      </c>
      <c r="F31" s="252">
        <f>F18+I25</f>
        <v>9.91336</v>
      </c>
      <c r="G31" s="252">
        <f>G18+K25</f>
        <v>7.2801919999999996</v>
      </c>
      <c r="H31" s="252">
        <f>H18+M25</f>
        <v>2.969552</v>
      </c>
      <c r="I31" s="252">
        <f>I18+O25</f>
        <v>7.854943999999999</v>
      </c>
    </row>
    <row r="32" spans="2:9" ht="12.75" customHeight="1" hidden="1">
      <c r="B32" t="s">
        <v>20</v>
      </c>
      <c r="E32" s="253">
        <f>H22</f>
        <v>0</v>
      </c>
      <c r="F32" s="253">
        <f>I22</f>
        <v>0</v>
      </c>
      <c r="G32" s="253">
        <f>K22</f>
        <v>0</v>
      </c>
      <c r="H32" s="253">
        <f>M22</f>
        <v>0</v>
      </c>
      <c r="I32" s="253">
        <f>O22</f>
        <v>0</v>
      </c>
    </row>
    <row r="33" spans="5:9" ht="12.75" customHeight="1" hidden="1">
      <c r="E33" s="86"/>
      <c r="F33" s="86"/>
      <c r="G33" s="86"/>
      <c r="H33" s="86"/>
      <c r="I33" s="86"/>
    </row>
    <row r="34" spans="5:9" ht="12.75" customHeight="1" hidden="1">
      <c r="E34" s="86"/>
      <c r="F34" s="86"/>
      <c r="G34" s="86"/>
      <c r="H34" s="86"/>
      <c r="I34" s="86"/>
    </row>
    <row r="35" spans="5:9" ht="12.75" customHeight="1" hidden="1">
      <c r="E35" s="247"/>
      <c r="F35" s="247"/>
      <c r="G35" s="247"/>
      <c r="H35" s="247"/>
      <c r="I35" s="247"/>
    </row>
    <row r="36" spans="5:9" ht="12.75" customHeight="1" hidden="1">
      <c r="E36" s="247"/>
      <c r="F36" s="247"/>
      <c r="G36" s="247"/>
      <c r="H36" s="247"/>
      <c r="I36" s="247"/>
    </row>
    <row r="37" spans="2:9" ht="12.75" customHeight="1" hidden="1">
      <c r="B37" s="14" t="s">
        <v>21</v>
      </c>
      <c r="E37" s="247"/>
      <c r="F37" s="247"/>
      <c r="G37" s="247"/>
      <c r="H37" s="247"/>
      <c r="I37" s="247"/>
    </row>
    <row r="38" spans="2:9" ht="12.75" customHeight="1" hidden="1">
      <c r="B38" s="18" t="e">
        <f>63.2-15*LN(#REF!)</f>
        <v>#REF!</v>
      </c>
      <c r="E38" s="247"/>
      <c r="F38" s="247"/>
      <c r="G38" s="247"/>
      <c r="H38" s="247"/>
      <c r="I38" s="247"/>
    </row>
    <row r="39" spans="1:9" ht="12.75" customHeight="1" hidden="1">
      <c r="A39" t="e">
        <f>-0.1167*#REF!</f>
        <v>#REF!</v>
      </c>
      <c r="B39" s="18" t="e">
        <f>72.9*EXP(A39)</f>
        <v>#REF!</v>
      </c>
      <c r="E39" s="247"/>
      <c r="F39" s="247"/>
      <c r="G39" s="247"/>
      <c r="H39" s="247"/>
      <c r="I39" s="247"/>
    </row>
    <row r="40" spans="2:9" ht="12.75" customHeight="1" hidden="1">
      <c r="B40" s="18" t="e">
        <f>AVERAGE(B38:B39)</f>
        <v>#REF!</v>
      </c>
      <c r="E40" s="247"/>
      <c r="F40" s="247"/>
      <c r="G40" s="247"/>
      <c r="H40" s="247"/>
      <c r="I40" s="247"/>
    </row>
    <row r="41" spans="2:9" ht="12.75">
      <c r="B41" s="18"/>
      <c r="E41" s="254">
        <f>63.2-15*LN(E18)</f>
        <v>23.94097211808851</v>
      </c>
      <c r="F41" s="254">
        <f>63.2-15*LN(F18)</f>
        <v>32.65324205187889</v>
      </c>
      <c r="G41" s="254">
        <f>63.2-15*LN(G18)</f>
        <v>33.422641467692145</v>
      </c>
      <c r="H41" s="254">
        <f>63.2-15*LN(H18)</f>
        <v>46.87383350470992</v>
      </c>
      <c r="I41" s="254">
        <f>63.2-15*LN(I18)</f>
        <v>32.28285286302332</v>
      </c>
    </row>
    <row r="42" spans="2:9" ht="15" customHeight="1">
      <c r="B42" s="18"/>
      <c r="E42" s="254">
        <f>-0.1167*(E18)</f>
        <v>-1.5985864751999999</v>
      </c>
      <c r="F42" s="254">
        <f>-0.1167*(F18)</f>
        <v>-0.894314112</v>
      </c>
      <c r="G42" s="254">
        <f>-0.1167*(G18)</f>
        <v>-0.8495984064</v>
      </c>
      <c r="H42" s="254">
        <f>-0.1167*(H18)</f>
        <v>-0.3465467184</v>
      </c>
      <c r="I42" s="254">
        <f>-0.1167*(I18)</f>
        <v>-0.9166719647999998</v>
      </c>
    </row>
    <row r="43" spans="2:9" ht="12.75">
      <c r="B43" s="18"/>
      <c r="E43" s="254">
        <f>72.9*EXP(E42)</f>
        <v>14.739075492761655</v>
      </c>
      <c r="F43" s="254">
        <f>72.9*EXP(F42)</f>
        <v>29.807931833813505</v>
      </c>
      <c r="G43" s="254">
        <f>72.9*EXP(G42)</f>
        <v>31.17106412566229</v>
      </c>
      <c r="H43" s="254">
        <f>72.9*EXP(H42)</f>
        <v>51.549469561046294</v>
      </c>
      <c r="I43" s="254">
        <f>72.9*EXP(I42)</f>
        <v>29.14888536664908</v>
      </c>
    </row>
    <row r="44" spans="2:9" ht="12.75">
      <c r="B44" s="18"/>
      <c r="C44" s="14" t="s">
        <v>23</v>
      </c>
      <c r="E44" s="255">
        <v>20</v>
      </c>
      <c r="F44" s="255">
        <f>AVERAGE(F41,F43)</f>
        <v>31.230586942846198</v>
      </c>
      <c r="G44" s="255">
        <f>AVERAGE(G41,G43)</f>
        <v>32.296852796677214</v>
      </c>
      <c r="H44" s="255">
        <f>AVERAGE(H41,H43)</f>
        <v>49.21165153287811</v>
      </c>
      <c r="I44" s="255">
        <f>AVERAGE(I41,I43)</f>
        <v>30.715869114836202</v>
      </c>
    </row>
    <row r="45" spans="5:9" ht="12.75">
      <c r="E45" s="247"/>
      <c r="F45" s="247"/>
      <c r="G45" s="247"/>
      <c r="H45" s="247"/>
      <c r="I45" s="247"/>
    </row>
    <row r="46" spans="3:9" ht="38.25">
      <c r="C46" s="19" t="s">
        <v>22</v>
      </c>
      <c r="D46" s="19"/>
      <c r="E46" s="247"/>
      <c r="F46" s="247"/>
      <c r="G46" s="247"/>
      <c r="H46" s="247"/>
      <c r="I46" s="247"/>
    </row>
    <row r="47" spans="1:9" ht="12.75">
      <c r="A47" t="s">
        <v>8</v>
      </c>
      <c r="B47" t="s">
        <v>38</v>
      </c>
      <c r="D47" s="20"/>
      <c r="E47" s="250">
        <f>E19*100/100</f>
        <v>0.3216928</v>
      </c>
      <c r="F47" s="250">
        <f>F19*100/100</f>
        <v>0.17996800000000002</v>
      </c>
      <c r="G47" s="250">
        <f>G19*100/100</f>
        <v>0.1709696</v>
      </c>
      <c r="H47" s="250">
        <f>H19*100/100</f>
        <v>0.06973760000000001</v>
      </c>
      <c r="I47" s="250">
        <f>I19*100/100</f>
        <v>0.1844672</v>
      </c>
    </row>
    <row r="48" spans="1:9" ht="12.75">
      <c r="A48" t="s">
        <v>8</v>
      </c>
      <c r="B48" t="s">
        <v>24</v>
      </c>
      <c r="D48" s="21"/>
      <c r="E48" s="249">
        <f>E18*E44/100</f>
        <v>2.7396511999999995</v>
      </c>
      <c r="F48" s="249">
        <f>F18*F44/100</f>
        <v>2.3933123075432987</v>
      </c>
      <c r="G48" s="249">
        <f>G18*G44/100</f>
        <v>2.3512728935554708</v>
      </c>
      <c r="H48" s="249">
        <f>H18*H44/100</f>
        <v>1.4613655823276124</v>
      </c>
      <c r="I48" s="249">
        <f>I18*I44/100</f>
        <v>2.412714318083679</v>
      </c>
    </row>
    <row r="49" spans="2:9" ht="12.75">
      <c r="B49" t="s">
        <v>25</v>
      </c>
      <c r="E49" s="105">
        <f>SUM(E47:E48)</f>
        <v>3.0613439999999996</v>
      </c>
      <c r="F49" s="105">
        <f>SUM(F47:F48)</f>
        <v>2.573280307543299</v>
      </c>
      <c r="G49" s="105">
        <f>SUM(G47:G48)</f>
        <v>2.5222424935554706</v>
      </c>
      <c r="H49" s="105">
        <f>SUM(H47:H48)</f>
        <v>1.5311031823276124</v>
      </c>
      <c r="I49" s="105">
        <f>SUM(I47:I48)</f>
        <v>2.597181518083679</v>
      </c>
    </row>
    <row r="50" spans="1:9" ht="12.75">
      <c r="A50" s="71" t="s">
        <v>52</v>
      </c>
      <c r="E50" s="248">
        <f>E49*(240/365)/70</f>
        <v>0.028756264579256355</v>
      </c>
      <c r="F50" s="248">
        <f>F49*(240/365)/70</f>
        <v>0.024171713260680693</v>
      </c>
      <c r="G50" s="248">
        <f>G49*(240/365)/70</f>
        <v>0.02369229739543299</v>
      </c>
      <c r="H50" s="248">
        <f>H49*(240/365)/70</f>
        <v>0.014382182534584224</v>
      </c>
      <c r="I50" s="248">
        <f>I49*(240/365)/70</f>
        <v>0.024396225610179373</v>
      </c>
    </row>
    <row r="51" spans="5:9" ht="12.75">
      <c r="E51" s="247"/>
      <c r="F51" s="247"/>
      <c r="G51" s="247"/>
      <c r="H51" s="247"/>
      <c r="I51" s="247"/>
    </row>
    <row r="52" spans="2:9" ht="12.75">
      <c r="B52" s="6" t="s">
        <v>14</v>
      </c>
      <c r="E52" s="247"/>
      <c r="F52" s="247"/>
      <c r="G52" s="247"/>
      <c r="H52" s="247"/>
      <c r="I52" s="247"/>
    </row>
    <row r="53" spans="1:9" ht="12.75">
      <c r="A53" t="s">
        <v>8</v>
      </c>
      <c r="B53" t="s">
        <v>26</v>
      </c>
      <c r="E53" s="253">
        <v>845</v>
      </c>
      <c r="F53" s="253">
        <v>760</v>
      </c>
      <c r="G53" s="253">
        <v>760</v>
      </c>
      <c r="H53" s="253">
        <v>243</v>
      </c>
      <c r="I53" s="253">
        <v>663</v>
      </c>
    </row>
    <row r="54" spans="1:9" ht="12.75">
      <c r="A54" t="s">
        <v>8</v>
      </c>
      <c r="B54" t="s">
        <v>27</v>
      </c>
      <c r="E54" s="256">
        <f>E53*0.03/100</f>
        <v>0.2535</v>
      </c>
      <c r="F54" s="256">
        <f>F53*0.03/100</f>
        <v>0.228</v>
      </c>
      <c r="G54" s="256">
        <f>G53*0.03/100</f>
        <v>0.228</v>
      </c>
      <c r="H54" s="256">
        <f>H53*0.03/100</f>
        <v>0.0729</v>
      </c>
      <c r="I54" s="256">
        <f>I53*0.03/100</f>
        <v>0.1989</v>
      </c>
    </row>
    <row r="55" spans="1:9" ht="12.75">
      <c r="A55" s="71" t="s">
        <v>52</v>
      </c>
      <c r="E55" s="257">
        <f>E54*(240/365)/70</f>
        <v>0.0023812133072407047</v>
      </c>
      <c r="F55" s="257">
        <f>F54*(240/365)/70</f>
        <v>0.0021416829745596866</v>
      </c>
      <c r="G55" s="257">
        <f>G54*(240/365)/70</f>
        <v>0.0021416829745596866</v>
      </c>
      <c r="H55" s="257">
        <f>H54*(240/365)/70</f>
        <v>0.000684774951076321</v>
      </c>
      <c r="I55" s="257">
        <f>I54*(240/365)/70</f>
        <v>0.0018683365949119374</v>
      </c>
    </row>
    <row r="56" spans="1:9" s="25" customFormat="1" ht="12.75">
      <c r="A56" s="84"/>
      <c r="E56" s="259"/>
      <c r="F56" s="259"/>
      <c r="G56" s="259"/>
      <c r="H56" s="259"/>
      <c r="I56" s="259"/>
    </row>
    <row r="57" spans="1:9" s="25" customFormat="1" ht="13.5" thickBot="1">
      <c r="A57" s="84"/>
      <c r="B57" s="6" t="s">
        <v>54</v>
      </c>
      <c r="E57" s="259"/>
      <c r="F57" s="259"/>
      <c r="G57" s="259"/>
      <c r="H57" s="259"/>
      <c r="I57" s="259"/>
    </row>
    <row r="58" spans="1:9" ht="12.75">
      <c r="A58" s="185" t="s">
        <v>8</v>
      </c>
      <c r="B58" s="333" t="s">
        <v>28</v>
      </c>
      <c r="C58" s="333"/>
      <c r="D58" s="333"/>
      <c r="E58" s="261">
        <f>(E47+E48+E54)*240/365</f>
        <v>2.179623452054794</v>
      </c>
      <c r="F58" s="261">
        <f>(F47+F48+F54)*240/365</f>
        <v>1.8419377364668266</v>
      </c>
      <c r="G58" s="261">
        <f>(G47+G48+G54)*240/365</f>
        <v>1.8083786258994878</v>
      </c>
      <c r="H58" s="261">
        <f>(H47+H48+H54)*240/365</f>
        <v>1.0546870239962383</v>
      </c>
      <c r="I58" s="261">
        <f>(I47+I48+I54)*240/365</f>
        <v>1.8385193543563916</v>
      </c>
    </row>
    <row r="59" spans="1:9" ht="12.75">
      <c r="A59" s="178" t="s">
        <v>39</v>
      </c>
      <c r="B59" s="23"/>
      <c r="C59" s="23"/>
      <c r="D59" s="23"/>
      <c r="E59" s="262">
        <f>E58/70</f>
        <v>0.031137477886497057</v>
      </c>
      <c r="F59" s="262">
        <f>F58/70</f>
        <v>0.02631339623524038</v>
      </c>
      <c r="G59" s="262">
        <f>G58/70</f>
        <v>0.025833980369992682</v>
      </c>
      <c r="H59" s="262">
        <f>H58/70</f>
        <v>0.015066957485660547</v>
      </c>
      <c r="I59" s="262">
        <f>I58/70</f>
        <v>0.026264562205091307</v>
      </c>
    </row>
    <row r="60" spans="1:9" ht="13.5" thickBot="1">
      <c r="A60" s="37"/>
      <c r="B60" s="39"/>
      <c r="C60" s="38" t="s">
        <v>40</v>
      </c>
      <c r="D60" s="39"/>
      <c r="E60" s="263">
        <f>4.075/E59</f>
        <v>130.8712290332014</v>
      </c>
      <c r="F60" s="263">
        <f>4.075/F59</f>
        <v>154.8640838138002</v>
      </c>
      <c r="G60" s="263">
        <f>4.075/G59</f>
        <v>157.7379846867614</v>
      </c>
      <c r="H60" s="263">
        <f>4.075/H59</f>
        <v>270.4593813235512</v>
      </c>
      <c r="I60" s="263">
        <f>4.075/I59</f>
        <v>155.1520245485026</v>
      </c>
    </row>
    <row r="61" spans="5:9" ht="12.75">
      <c r="E61" s="247"/>
      <c r="F61" s="247"/>
      <c r="G61" s="247"/>
      <c r="H61" s="247"/>
      <c r="I61" s="247"/>
    </row>
    <row r="62" spans="1:14" ht="12.75">
      <c r="A62" s="32"/>
      <c r="B62" s="33" t="s">
        <v>55</v>
      </c>
      <c r="C62" s="32"/>
      <c r="D62" s="32"/>
      <c r="E62" s="264"/>
      <c r="F62" s="264"/>
      <c r="G62" s="264"/>
      <c r="H62" s="264"/>
      <c r="I62" s="264"/>
      <c r="J62" s="25"/>
      <c r="K62" s="25"/>
      <c r="L62" s="25"/>
      <c r="M62" s="25"/>
      <c r="N62" s="25"/>
    </row>
    <row r="63" spans="1:14" ht="12.75">
      <c r="A63" t="s">
        <v>8</v>
      </c>
      <c r="B63" t="s">
        <v>29</v>
      </c>
      <c r="E63" s="265">
        <v>1.44</v>
      </c>
      <c r="F63" s="265">
        <v>1.44</v>
      </c>
      <c r="G63" s="265">
        <v>1.44</v>
      </c>
      <c r="H63" s="265">
        <v>1.44</v>
      </c>
      <c r="I63" s="265">
        <v>1.44</v>
      </c>
      <c r="J63" s="25"/>
      <c r="K63" s="25"/>
      <c r="L63" s="25"/>
      <c r="M63" s="25"/>
      <c r="N63" s="25"/>
    </row>
    <row r="64" spans="1:14" ht="12.75">
      <c r="A64" t="s">
        <v>8</v>
      </c>
      <c r="B64" t="s">
        <v>41</v>
      </c>
      <c r="E64" s="266">
        <v>0.057</v>
      </c>
      <c r="F64" s="266">
        <v>0.057</v>
      </c>
      <c r="G64" s="266">
        <v>0.057</v>
      </c>
      <c r="H64" s="266">
        <v>0.057</v>
      </c>
      <c r="I64" s="266">
        <v>0.057</v>
      </c>
      <c r="J64" s="25"/>
      <c r="K64" s="25"/>
      <c r="L64" s="25"/>
      <c r="M64" s="25"/>
      <c r="N64" s="25"/>
    </row>
    <row r="65" spans="1:14" ht="12.75">
      <c r="A65" t="s">
        <v>8</v>
      </c>
      <c r="B65" t="s">
        <v>30</v>
      </c>
      <c r="E65" s="266">
        <v>0</v>
      </c>
      <c r="F65" s="266">
        <v>0</v>
      </c>
      <c r="G65" s="266">
        <v>0</v>
      </c>
      <c r="H65" s="266">
        <v>0</v>
      </c>
      <c r="I65" s="266">
        <v>0</v>
      </c>
      <c r="J65" s="25"/>
      <c r="K65" s="25"/>
      <c r="L65" s="25"/>
      <c r="M65" s="25"/>
      <c r="N65" s="25"/>
    </row>
    <row r="66" spans="1:14" ht="12.75">
      <c r="A66" t="s">
        <v>8</v>
      </c>
      <c r="B66" t="s">
        <v>31</v>
      </c>
      <c r="E66" s="267">
        <v>0.14</v>
      </c>
      <c r="F66" s="267">
        <v>0.14</v>
      </c>
      <c r="G66" s="267">
        <v>0.14</v>
      </c>
      <c r="H66" s="267">
        <v>0.14</v>
      </c>
      <c r="I66" s="267">
        <v>0.14</v>
      </c>
      <c r="J66" s="25"/>
      <c r="K66" s="25"/>
      <c r="L66" s="25"/>
      <c r="M66" s="25"/>
      <c r="N66" s="25"/>
    </row>
    <row r="67" spans="5:14" ht="12.75">
      <c r="E67" s="260"/>
      <c r="F67" s="260"/>
      <c r="G67" s="260"/>
      <c r="H67" s="260"/>
      <c r="I67" s="260"/>
      <c r="J67" s="25"/>
      <c r="K67" s="25"/>
      <c r="L67" s="25"/>
      <c r="M67" s="25"/>
      <c r="N67" s="25"/>
    </row>
    <row r="68" spans="5:14" ht="12.75">
      <c r="E68" s="268">
        <f>63.2-15*LN(E18+E63)</f>
        <v>22.441624252569916</v>
      </c>
      <c r="F68" s="268">
        <f>63.2-15*LN(F18+F63)</f>
        <v>30.07034635785307</v>
      </c>
      <c r="G68" s="268">
        <f>63.2-15*LN(G18+G63)</f>
        <v>30.715381159593328</v>
      </c>
      <c r="H68" s="268">
        <f>63.2-15*LN(H18+H63)</f>
        <v>40.94340354504759</v>
      </c>
      <c r="I68" s="268">
        <f>63.2-15*LN(I18+I63)</f>
        <v>29.757941053838422</v>
      </c>
      <c r="J68" s="25"/>
      <c r="K68" s="25"/>
      <c r="L68" s="25"/>
      <c r="M68" s="25"/>
      <c r="N68" s="25"/>
    </row>
    <row r="69" spans="5:14" ht="12.75">
      <c r="E69" s="254">
        <f>-0.1167*(E18+E63)</f>
        <v>-1.7666344751999998</v>
      </c>
      <c r="F69" s="254">
        <f>-0.1167*(F18+F63)</f>
        <v>-1.062362112</v>
      </c>
      <c r="G69" s="254">
        <f>-0.1167*(G18+G63)</f>
        <v>-1.0176464064</v>
      </c>
      <c r="H69" s="254">
        <f>-0.1167*(H18+H63)</f>
        <v>-0.5145947183999999</v>
      </c>
      <c r="I69" s="254">
        <f>-0.1167*(I18+I63)</f>
        <v>-1.0847199647999999</v>
      </c>
      <c r="J69" s="25"/>
      <c r="K69" s="25"/>
      <c r="L69" s="25"/>
      <c r="M69" s="25"/>
      <c r="N69" s="25"/>
    </row>
    <row r="70" spans="5:14" ht="12.75">
      <c r="E70" s="268">
        <f>72.9*EXP(E69)</f>
        <v>12.459135934634723</v>
      </c>
      <c r="F70" s="268">
        <f>72.9*EXP(F69)</f>
        <v>25.197039992786053</v>
      </c>
      <c r="G70" s="268">
        <f>72.9*EXP(G69)</f>
        <v>26.34931379241308</v>
      </c>
      <c r="H70" s="268">
        <f>72.9*EXP(H69)</f>
        <v>43.575450097586184</v>
      </c>
      <c r="I70" s="268">
        <f>72.9*EXP(I69)</f>
        <v>24.63993927600942</v>
      </c>
      <c r="J70" s="25"/>
      <c r="K70" s="25"/>
      <c r="L70" s="25"/>
      <c r="M70" s="25"/>
      <c r="N70" s="25"/>
    </row>
    <row r="71" spans="3:14" ht="12.75">
      <c r="C71" s="14" t="s">
        <v>21</v>
      </c>
      <c r="E71" s="255">
        <v>20</v>
      </c>
      <c r="F71" s="255">
        <f>AVERAGE(F68,F70)</f>
        <v>27.63369317531956</v>
      </c>
      <c r="G71" s="255">
        <f>AVERAGE(G68,G70)</f>
        <v>28.532347476003203</v>
      </c>
      <c r="H71" s="255">
        <f>AVERAGE(H68,H70)</f>
        <v>42.259426821316886</v>
      </c>
      <c r="I71" s="255">
        <f>AVERAGE(I68,I70)</f>
        <v>27.198940164923922</v>
      </c>
      <c r="J71" s="25"/>
      <c r="K71" s="25"/>
      <c r="L71" s="25"/>
      <c r="M71" s="25"/>
      <c r="N71" s="25"/>
    </row>
    <row r="72" spans="3:14" ht="12.75">
      <c r="C72" s="14"/>
      <c r="E72" s="268"/>
      <c r="F72" s="268"/>
      <c r="G72" s="268"/>
      <c r="H72" s="268"/>
      <c r="I72" s="260"/>
      <c r="J72" s="25"/>
      <c r="K72" s="25"/>
      <c r="L72" s="25"/>
      <c r="M72" s="25"/>
      <c r="N72" s="25"/>
    </row>
    <row r="73" spans="1:15" ht="12.75">
      <c r="A73" s="32"/>
      <c r="B73" s="33" t="s">
        <v>32</v>
      </c>
      <c r="C73" s="32"/>
      <c r="D73" s="32"/>
      <c r="E73" s="264"/>
      <c r="F73" s="264"/>
      <c r="G73" s="264"/>
      <c r="H73" s="264"/>
      <c r="I73" s="264"/>
      <c r="J73" s="25"/>
      <c r="K73" s="25"/>
      <c r="L73" s="25"/>
      <c r="M73" s="25"/>
      <c r="N73" s="25"/>
      <c r="O73" s="25"/>
    </row>
    <row r="74" spans="1:9" ht="12.75">
      <c r="A74" t="s">
        <v>8</v>
      </c>
      <c r="B74" t="s">
        <v>86</v>
      </c>
      <c r="D74" s="20"/>
      <c r="E74" s="269">
        <f>E63*E71/100</f>
        <v>0.288</v>
      </c>
      <c r="F74" s="269">
        <f>F63*F71/100</f>
        <v>0.3979251817246016</v>
      </c>
      <c r="G74" s="269">
        <f>G63*G71/100</f>
        <v>0.41086580365444614</v>
      </c>
      <c r="H74" s="269">
        <f>H63*H71/100</f>
        <v>0.6085357462269632</v>
      </c>
      <c r="I74" s="269">
        <f>I63*I71/100</f>
        <v>0.39166473837490445</v>
      </c>
    </row>
    <row r="75" spans="1:9" ht="12.75">
      <c r="A75" t="s">
        <v>8</v>
      </c>
      <c r="B75" t="s">
        <v>87</v>
      </c>
      <c r="D75" s="21"/>
      <c r="E75" s="266">
        <f>(E64+E65)*1</f>
        <v>0.057</v>
      </c>
      <c r="F75" s="266">
        <f>(F64+F65)*1</f>
        <v>0.057</v>
      </c>
      <c r="G75" s="266">
        <f>(G64+G65)*1</f>
        <v>0.057</v>
      </c>
      <c r="H75" s="266">
        <f>(H64+H65)*1</f>
        <v>0.057</v>
      </c>
      <c r="I75" s="266">
        <f>(I64+I65)*1</f>
        <v>0.057</v>
      </c>
    </row>
    <row r="76" spans="1:9" ht="12.75">
      <c r="A76" t="s">
        <v>8</v>
      </c>
      <c r="B76" t="s">
        <v>88</v>
      </c>
      <c r="D76" s="7"/>
      <c r="E76" s="165">
        <f>E66*0.3/100</f>
        <v>0.00042</v>
      </c>
      <c r="F76" s="165">
        <f>F66*0.3/100</f>
        <v>0.00042</v>
      </c>
      <c r="G76" s="165">
        <f>G66*0.3/100</f>
        <v>0.00042</v>
      </c>
      <c r="H76" s="165">
        <f>H66*0.3/100</f>
        <v>0.00042</v>
      </c>
      <c r="I76" s="165">
        <f>I66*0.3/100</f>
        <v>0.00042</v>
      </c>
    </row>
    <row r="77" spans="1:9" ht="12.75">
      <c r="A77" s="41" t="s">
        <v>8</v>
      </c>
      <c r="B77" s="41" t="s">
        <v>89</v>
      </c>
      <c r="C77" s="41"/>
      <c r="D77" s="41"/>
      <c r="E77" s="310">
        <f>SUM(E74:E76)</f>
        <v>0.34541999999999995</v>
      </c>
      <c r="F77" s="310">
        <f>SUM(F74:F76)</f>
        <v>0.4553451817246016</v>
      </c>
      <c r="G77" s="310">
        <f>SUM(G74:G76)</f>
        <v>0.4682858036544461</v>
      </c>
      <c r="H77" s="310">
        <f>SUM(H74:H76)</f>
        <v>0.6659557462269632</v>
      </c>
      <c r="I77" s="310">
        <f>SUM(I74:I76)</f>
        <v>0.4490847383749044</v>
      </c>
    </row>
    <row r="78" spans="1:9" ht="12.75">
      <c r="A78" s="24" t="s">
        <v>39</v>
      </c>
      <c r="B78" s="24" t="s">
        <v>89</v>
      </c>
      <c r="C78" s="41"/>
      <c r="D78" s="41"/>
      <c r="E78" s="72">
        <f>E77/70</f>
        <v>0.004934571428571428</v>
      </c>
      <c r="F78" s="72">
        <f>F77/70</f>
        <v>0.006504931167494309</v>
      </c>
      <c r="G78" s="72">
        <f>G77/70</f>
        <v>0.006689797195063516</v>
      </c>
      <c r="H78" s="72">
        <f>H77/70</f>
        <v>0.009513653517528045</v>
      </c>
      <c r="I78" s="72">
        <f>I77/70</f>
        <v>0.0064154962624986345</v>
      </c>
    </row>
    <row r="79" spans="1:9" ht="12.75">
      <c r="A79" s="24"/>
      <c r="B79" s="24"/>
      <c r="E79" s="270"/>
      <c r="F79" s="270"/>
      <c r="G79" s="270"/>
      <c r="H79" s="270"/>
      <c r="I79" s="270"/>
    </row>
    <row r="80" spans="1:9" ht="12.75">
      <c r="A80" t="s">
        <v>8</v>
      </c>
      <c r="B80" t="s">
        <v>90</v>
      </c>
      <c r="E80" s="317">
        <f>E71*E18*(240/365)/(100)</f>
        <v>1.8014144876712326</v>
      </c>
      <c r="F80" s="317">
        <f>F71*F18*(240/365)/(100)</f>
        <v>1.3924401464023028</v>
      </c>
      <c r="G80" s="317">
        <f>G71*G18*(240/365)/(100)</f>
        <v>1.365836500839575</v>
      </c>
      <c r="H80" s="317">
        <f>H71*H18*(240/365)/(100)</f>
        <v>0.8251500193058315</v>
      </c>
      <c r="I80" s="317">
        <f>I71*I18*(240/365)/(100)</f>
        <v>1.4047966149358562</v>
      </c>
    </row>
    <row r="81" spans="1:9" ht="12.75">
      <c r="A81" t="s">
        <v>8</v>
      </c>
      <c r="B81" t="s">
        <v>91</v>
      </c>
      <c r="E81" s="318">
        <f>E53*0.03*(240/365)/(100)</f>
        <v>0.16668493150684927</v>
      </c>
      <c r="F81" s="318">
        <f>F53*0.03*(240/365)/(100)</f>
        <v>0.14991780821917808</v>
      </c>
      <c r="G81" s="318">
        <f>G53*0.03*(240/365)/(100)</f>
        <v>0.14991780821917808</v>
      </c>
      <c r="H81" s="318">
        <f>H53*0.03*(240/365)/(100)</f>
        <v>0.04793424657534247</v>
      </c>
      <c r="I81" s="318">
        <f>I53*0.03*(240/365)/(100)</f>
        <v>0.13078356164383562</v>
      </c>
    </row>
    <row r="82" spans="1:9" ht="12.75">
      <c r="A82" t="s">
        <v>8</v>
      </c>
      <c r="B82" t="s">
        <v>92</v>
      </c>
      <c r="E82" s="319">
        <f>E47*(240/365)</f>
        <v>0.21152403287671231</v>
      </c>
      <c r="F82" s="319">
        <f>F47*(240/365)</f>
        <v>0.11833512328767123</v>
      </c>
      <c r="G82" s="319">
        <f>G47*(240/365)</f>
        <v>0.11241836712328766</v>
      </c>
      <c r="H82" s="319">
        <f>H47*(240/365)</f>
        <v>0.045854860273972606</v>
      </c>
      <c r="I82" s="319">
        <f>I47*(240/365)</f>
        <v>0.121293501369863</v>
      </c>
    </row>
    <row r="83" spans="1:9" ht="12.75">
      <c r="A83" s="41" t="s">
        <v>8</v>
      </c>
      <c r="B83" s="41" t="s">
        <v>93</v>
      </c>
      <c r="C83" s="41"/>
      <c r="D83" s="41"/>
      <c r="E83" s="310">
        <f>SUM(E80:E82)</f>
        <v>2.1796234520547944</v>
      </c>
      <c r="F83" s="310">
        <f>SUM(F80:F82)</f>
        <v>1.6606930779091522</v>
      </c>
      <c r="G83" s="310">
        <f>SUM(G80:G82)</f>
        <v>1.6281726761820408</v>
      </c>
      <c r="H83" s="310">
        <f>SUM(H80:H82)</f>
        <v>0.9189391261551466</v>
      </c>
      <c r="I83" s="310">
        <f>SUM(I80:I82)</f>
        <v>1.6568736779495548</v>
      </c>
    </row>
    <row r="84" spans="1:9" ht="12.75">
      <c r="A84" s="24" t="s">
        <v>39</v>
      </c>
      <c r="B84" s="24" t="s">
        <v>93</v>
      </c>
      <c r="C84" s="41"/>
      <c r="D84" s="41"/>
      <c r="E84" s="72">
        <f>E83/70</f>
        <v>0.031137477886497063</v>
      </c>
      <c r="F84" s="72">
        <f>F83/70</f>
        <v>0.0237241868272736</v>
      </c>
      <c r="G84" s="72">
        <f>G83/70</f>
        <v>0.02325960965974344</v>
      </c>
      <c r="H84" s="72">
        <f>H83/70</f>
        <v>0.01312770180221638</v>
      </c>
      <c r="I84" s="72">
        <f>I83/70</f>
        <v>0.023669623970707925</v>
      </c>
    </row>
    <row r="85" spans="1:9" ht="13.5" thickBot="1">
      <c r="A85" s="24"/>
      <c r="B85" s="24"/>
      <c r="C85" s="41"/>
      <c r="D85" s="41"/>
      <c r="E85" s="310"/>
      <c r="F85" s="310"/>
      <c r="G85" s="310"/>
      <c r="H85" s="310"/>
      <c r="I85" s="310"/>
    </row>
    <row r="86" spans="1:9" ht="12.75">
      <c r="A86" s="45" t="s">
        <v>8</v>
      </c>
      <c r="B86" s="332" t="s">
        <v>32</v>
      </c>
      <c r="C86" s="333"/>
      <c r="D86" s="333"/>
      <c r="E86" s="42">
        <f>E77+E83</f>
        <v>2.525043452054794</v>
      </c>
      <c r="F86" s="42">
        <f>F77+F83</f>
        <v>2.1160382596337537</v>
      </c>
      <c r="G86" s="42">
        <f>G77+G83</f>
        <v>2.0964584798364867</v>
      </c>
      <c r="H86" s="42">
        <f>H77+H83</f>
        <v>1.58489487238211</v>
      </c>
      <c r="I86" s="42">
        <f>I77+I83</f>
        <v>2.105958416324459</v>
      </c>
    </row>
    <row r="87" spans="1:9" ht="12.75">
      <c r="A87" s="36" t="s">
        <v>39</v>
      </c>
      <c r="B87" s="175"/>
      <c r="C87" s="324"/>
      <c r="D87" s="324"/>
      <c r="E87" s="43">
        <f>E86/70</f>
        <v>0.03607204931506849</v>
      </c>
      <c r="F87" s="43">
        <f>F86/70</f>
        <v>0.03022911799476791</v>
      </c>
      <c r="G87" s="43">
        <f>G86/70</f>
        <v>0.029949406854806952</v>
      </c>
      <c r="H87" s="43">
        <f>H86/70</f>
        <v>0.022641355319744427</v>
      </c>
      <c r="I87" s="43">
        <f>I86/70</f>
        <v>0.030085120233206558</v>
      </c>
    </row>
    <row r="88" spans="2:9" ht="13.5" thickBot="1">
      <c r="B88" s="37"/>
      <c r="C88" s="38" t="s">
        <v>40</v>
      </c>
      <c r="D88" s="39"/>
      <c r="E88" s="271">
        <f>4.075/E87</f>
        <v>112.96835298730139</v>
      </c>
      <c r="F88" s="271">
        <f>4.075/F87</f>
        <v>134.8038007825867</v>
      </c>
      <c r="G88" s="271">
        <f>4.075/G87</f>
        <v>136.0627948244642</v>
      </c>
      <c r="H88" s="271">
        <f>4.075/H87</f>
        <v>179.98039174123073</v>
      </c>
      <c r="I88" s="271">
        <f>4.075/I87</f>
        <v>135.4490182659202</v>
      </c>
    </row>
  </sheetData>
  <sheetProtection/>
  <mergeCells count="2">
    <mergeCell ref="B58:D58"/>
    <mergeCell ref="B86:D8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B1">
      <selection activeCell="P40" sqref="P40"/>
    </sheetView>
  </sheetViews>
  <sheetFormatPr defaultColWidth="9.140625" defaultRowHeight="12.75"/>
  <cols>
    <col min="1" max="1" width="16.7109375" style="0" customWidth="1"/>
    <col min="3" max="3" width="10.57421875" style="0" bestFit="1" customWidth="1"/>
    <col min="6" max="6" width="11.421875" style="0" customWidth="1"/>
    <col min="8" max="8" width="12.57421875" style="0" customWidth="1"/>
    <col min="12" max="12" width="10.57421875" style="0" bestFit="1" customWidth="1"/>
  </cols>
  <sheetData>
    <row r="1" spans="1:11" ht="12.75">
      <c r="A1" s="129"/>
      <c r="B1" s="132" t="s">
        <v>57</v>
      </c>
      <c r="C1" s="129"/>
      <c r="D1" s="35"/>
      <c r="E1" s="129"/>
      <c r="F1" s="35"/>
      <c r="G1" s="129"/>
      <c r="H1" s="143"/>
      <c r="K1" s="85" t="s">
        <v>33</v>
      </c>
    </row>
    <row r="2" spans="1:18" ht="13.5" thickBot="1">
      <c r="A2" s="36"/>
      <c r="B2" s="334" t="s">
        <v>58</v>
      </c>
      <c r="C2" s="335"/>
      <c r="D2" s="334" t="s">
        <v>59</v>
      </c>
      <c r="E2" s="335"/>
      <c r="F2" s="338" t="s">
        <v>60</v>
      </c>
      <c r="G2" s="339"/>
      <c r="H2" s="160" t="s">
        <v>61</v>
      </c>
      <c r="I2" s="144" t="s">
        <v>62</v>
      </c>
      <c r="J2" s="23"/>
      <c r="K2" s="336" t="s">
        <v>58</v>
      </c>
      <c r="L2" s="336"/>
      <c r="M2" s="334" t="s">
        <v>59</v>
      </c>
      <c r="N2" s="335"/>
      <c r="O2" s="337" t="s">
        <v>60</v>
      </c>
      <c r="P2" s="337"/>
      <c r="Q2" s="160" t="s">
        <v>61</v>
      </c>
      <c r="R2" s="145" t="s">
        <v>62</v>
      </c>
    </row>
    <row r="3" spans="1:18" ht="12.75">
      <c r="A3" s="129"/>
      <c r="B3" s="133" t="s">
        <v>63</v>
      </c>
      <c r="C3" s="134" t="s">
        <v>64</v>
      </c>
      <c r="D3" s="136" t="s">
        <v>63</v>
      </c>
      <c r="E3" s="137" t="s">
        <v>64</v>
      </c>
      <c r="F3" s="138" t="s">
        <v>63</v>
      </c>
      <c r="G3" s="139" t="s">
        <v>64</v>
      </c>
      <c r="H3" s="161" t="s">
        <v>64</v>
      </c>
      <c r="I3" s="126"/>
      <c r="J3" s="126"/>
      <c r="K3" s="123" t="s">
        <v>63</v>
      </c>
      <c r="L3" s="123" t="s">
        <v>64</v>
      </c>
      <c r="M3" s="136" t="s">
        <v>63</v>
      </c>
      <c r="N3" s="137" t="s">
        <v>64</v>
      </c>
      <c r="O3" s="124" t="s">
        <v>63</v>
      </c>
      <c r="P3" s="125" t="s">
        <v>64</v>
      </c>
      <c r="Q3" s="161" t="s">
        <v>64</v>
      </c>
      <c r="R3" s="94"/>
    </row>
    <row r="4" spans="1:18" ht="13.5" thickBot="1">
      <c r="A4" s="130"/>
      <c r="B4" s="146" t="s">
        <v>65</v>
      </c>
      <c r="C4" s="147" t="s">
        <v>66</v>
      </c>
      <c r="D4" s="148" t="s">
        <v>65</v>
      </c>
      <c r="E4" s="149" t="s">
        <v>66</v>
      </c>
      <c r="F4" s="150" t="s">
        <v>65</v>
      </c>
      <c r="G4" s="151" t="s">
        <v>66</v>
      </c>
      <c r="H4" s="162" t="s">
        <v>66</v>
      </c>
      <c r="I4" s="152"/>
      <c r="J4" s="126"/>
      <c r="K4" s="153" t="s">
        <v>65</v>
      </c>
      <c r="L4" s="153" t="s">
        <v>66</v>
      </c>
      <c r="M4" s="148" t="s">
        <v>65</v>
      </c>
      <c r="N4" s="149" t="s">
        <v>66</v>
      </c>
      <c r="O4" s="154" t="s">
        <v>65</v>
      </c>
      <c r="P4" s="154" t="s">
        <v>66</v>
      </c>
      <c r="Q4" s="162" t="s">
        <v>66</v>
      </c>
      <c r="R4" s="96"/>
    </row>
    <row r="5" spans="1:18" ht="25.5" hidden="1">
      <c r="A5" s="131" t="s">
        <v>67</v>
      </c>
      <c r="B5" s="135">
        <v>0</v>
      </c>
      <c r="C5" s="87">
        <f>B5*1/(60)</f>
        <v>0</v>
      </c>
      <c r="D5" s="101">
        <v>0.38</v>
      </c>
      <c r="E5" s="88">
        <f>D5*0.3/(100*60)</f>
        <v>1.8999999999999998E-05</v>
      </c>
      <c r="F5" s="140">
        <v>0</v>
      </c>
      <c r="G5" s="141" t="e">
        <f>F5*D15/(100*60)</f>
        <v>#NUM!</v>
      </c>
      <c r="H5" s="164" t="e">
        <f>C5+E5+G5</f>
        <v>#NUM!</v>
      </c>
      <c r="I5" s="127" t="e">
        <f>4.075/H5</f>
        <v>#NUM!</v>
      </c>
      <c r="J5" s="126"/>
      <c r="K5" s="89">
        <v>0.0005</v>
      </c>
      <c r="L5" s="89">
        <f>K5*1/(60)</f>
        <v>8.333333333333334E-06</v>
      </c>
      <c r="M5" s="101">
        <v>6.16</v>
      </c>
      <c r="N5" s="88">
        <f>M5*0.3/(100*60)</f>
        <v>0.00030799999999999995</v>
      </c>
      <c r="O5" s="91">
        <v>2</v>
      </c>
      <c r="P5" s="128">
        <f>O5*N15/(100*60)</f>
        <v>0.01842128220375718</v>
      </c>
      <c r="Q5" s="163">
        <f>L5+N5+P5</f>
        <v>0.01873761553709051</v>
      </c>
      <c r="R5" s="127">
        <f>4.075/Q5</f>
        <v>217.47697789687638</v>
      </c>
    </row>
    <row r="6" spans="1:18" ht="25.5" customHeight="1">
      <c r="A6" s="131" t="s">
        <v>68</v>
      </c>
      <c r="B6" s="135">
        <v>0.002</v>
      </c>
      <c r="C6" s="87">
        <f>B6*1/(60)</f>
        <v>3.3333333333333335E-05</v>
      </c>
      <c r="D6" s="101">
        <v>0</v>
      </c>
      <c r="E6" s="88">
        <f>D6*0.3/(100*60)</f>
        <v>0</v>
      </c>
      <c r="F6" s="140">
        <v>1.2</v>
      </c>
      <c r="G6" s="142">
        <f>F6*D16/(100*60)</f>
        <v>0.01238388570107495</v>
      </c>
      <c r="H6" s="164">
        <f>C6+E6+G6</f>
        <v>0.012417219034408284</v>
      </c>
      <c r="I6" s="127">
        <f>4.075/H6</f>
        <v>328.17332034718237</v>
      </c>
      <c r="J6" s="126"/>
      <c r="K6" s="89">
        <v>0.002</v>
      </c>
      <c r="L6" s="89">
        <f>K6*1/(60)</f>
        <v>3.3333333333333335E-05</v>
      </c>
      <c r="M6" s="101">
        <v>0</v>
      </c>
      <c r="N6" s="88">
        <f>M6*0.3/(100*60)</f>
        <v>0</v>
      </c>
      <c r="O6" s="91">
        <v>2</v>
      </c>
      <c r="P6" s="128">
        <f>O6*N16/(100*60)</f>
        <v>0.01842128220375718</v>
      </c>
      <c r="Q6" s="164">
        <f>L6+N6+P6</f>
        <v>0.01845461553709051</v>
      </c>
      <c r="R6" s="127">
        <f>4.075/Q6</f>
        <v>220.8119693314646</v>
      </c>
    </row>
    <row r="7" spans="1:18" ht="25.5" customHeight="1">
      <c r="A7" s="131"/>
      <c r="B7" s="135">
        <v>0.002</v>
      </c>
      <c r="C7" s="87">
        <f>B7*1/(60)</f>
        <v>3.3333333333333335E-05</v>
      </c>
      <c r="D7" s="101">
        <v>0</v>
      </c>
      <c r="E7" s="88">
        <f>D7*0.3/(100*60)</f>
        <v>0</v>
      </c>
      <c r="F7" s="140">
        <v>4.3</v>
      </c>
      <c r="G7" s="142">
        <f>F7*D17/(100*60)</f>
        <v>0.030622056199915298</v>
      </c>
      <c r="H7" s="164">
        <f>C7+E7+G7</f>
        <v>0.03065538953324863</v>
      </c>
      <c r="I7" s="127">
        <f>4.075/H7</f>
        <v>132.92931722757208</v>
      </c>
      <c r="J7" s="126"/>
      <c r="K7" s="89">
        <v>0.002</v>
      </c>
      <c r="L7" s="89">
        <f>K7*1/(60)</f>
        <v>3.3333333333333335E-05</v>
      </c>
      <c r="M7" s="101">
        <v>0</v>
      </c>
      <c r="N7" s="88">
        <f>M7*0.3/(100*60)</f>
        <v>0</v>
      </c>
      <c r="O7" s="91">
        <v>5.1</v>
      </c>
      <c r="P7" s="128">
        <f>O7*N17/(100*60)</f>
        <v>0.03355947390931499</v>
      </c>
      <c r="Q7" s="164">
        <f>L7+N7+P7</f>
        <v>0.03359280724264833</v>
      </c>
      <c r="R7" s="127">
        <f>4.075/Q7</f>
        <v>121.3057298416702</v>
      </c>
    </row>
    <row r="8" spans="1:18" ht="24" customHeight="1">
      <c r="A8" s="131" t="s">
        <v>69</v>
      </c>
      <c r="B8" s="135">
        <v>0.057</v>
      </c>
      <c r="C8" s="87">
        <f>B8*1/(60)</f>
        <v>0.00095</v>
      </c>
      <c r="D8" s="101">
        <v>0</v>
      </c>
      <c r="E8" s="88">
        <f>D8*0.3/(100*60)</f>
        <v>0</v>
      </c>
      <c r="F8" s="140">
        <v>1.34</v>
      </c>
      <c r="G8" s="142">
        <f>F8*D18/(100*60)</f>
        <v>0.013529159167784115</v>
      </c>
      <c r="H8" s="164">
        <f>C8+E8+G8</f>
        <v>0.014479159167784115</v>
      </c>
      <c r="I8" s="127">
        <f>4.075/H8</f>
        <v>281.43899468049267</v>
      </c>
      <c r="J8" s="126"/>
      <c r="K8" s="89">
        <v>0.093</v>
      </c>
      <c r="L8" s="89">
        <f>K8*1/(60)</f>
        <v>0.00155</v>
      </c>
      <c r="M8" s="101">
        <v>0</v>
      </c>
      <c r="N8" s="88">
        <f>M8*0.3/(100*60)</f>
        <v>0</v>
      </c>
      <c r="O8" s="91">
        <v>2.25</v>
      </c>
      <c r="P8" s="128">
        <f>O8*N18/(100*60)</f>
        <v>0.020081466314722064</v>
      </c>
      <c r="Q8" s="164">
        <f>L8+N8+P8</f>
        <v>0.021631466314722063</v>
      </c>
      <c r="R8" s="127">
        <f>4.075/Q8</f>
        <v>188.38297601797868</v>
      </c>
    </row>
    <row r="9" spans="1:18" ht="12.75">
      <c r="A9" s="129"/>
      <c r="B9" s="135">
        <v>0.057</v>
      </c>
      <c r="C9" s="87">
        <f>B9*1/(60)</f>
        <v>0.00095</v>
      </c>
      <c r="D9" s="101">
        <v>0</v>
      </c>
      <c r="E9" s="88">
        <f>D9*0.3/(100*60)</f>
        <v>0</v>
      </c>
      <c r="F9" s="140">
        <v>4.44</v>
      </c>
      <c r="G9" s="142">
        <f>F9*D19/(100*60)</f>
        <v>0.03117659714617044</v>
      </c>
      <c r="H9" s="164">
        <f>C9+E9+G9</f>
        <v>0.032126597146170444</v>
      </c>
      <c r="I9" s="127">
        <f>4.075/H9</f>
        <v>126.84194287553883</v>
      </c>
      <c r="J9" s="126"/>
      <c r="K9" s="89">
        <v>0.093</v>
      </c>
      <c r="L9" s="89">
        <f>K9*1/(60)</f>
        <v>0.00155</v>
      </c>
      <c r="M9" s="101">
        <v>0</v>
      </c>
      <c r="N9" s="88">
        <f>M9*0.3/(100*60)</f>
        <v>0</v>
      </c>
      <c r="O9" s="91">
        <v>5.35</v>
      </c>
      <c r="P9" s="128">
        <f>O9*N19/(100*60)</f>
        <v>0.03436914746776983</v>
      </c>
      <c r="Q9" s="164">
        <f>L9+N9+P9</f>
        <v>0.035919147467769835</v>
      </c>
      <c r="R9" s="127">
        <f>4.075/Q9</f>
        <v>113.44924051041266</v>
      </c>
    </row>
    <row r="10" ht="12.75">
      <c r="Q10" s="7"/>
    </row>
    <row r="14" spans="1:11" ht="12.75">
      <c r="A14" t="s">
        <v>70</v>
      </c>
      <c r="K14" t="s">
        <v>70</v>
      </c>
    </row>
    <row r="15" spans="1:14" ht="12.75" hidden="1">
      <c r="A15" s="18" t="e">
        <f>63.2-15*LN(F5)</f>
        <v>#NUM!</v>
      </c>
      <c r="B15" s="18">
        <f>-0.1167*(F5)</f>
        <v>0</v>
      </c>
      <c r="C15" s="18">
        <f>72.9*EXP(B15)</f>
        <v>72.9</v>
      </c>
      <c r="D15" s="92" t="e">
        <f>AVERAGE(A15,C15)</f>
        <v>#NUM!</v>
      </c>
      <c r="K15" s="18">
        <f>63.2-15*LN(O5)</f>
        <v>52.802792291600824</v>
      </c>
      <c r="L15" s="18">
        <f>-0.1167*(O5)</f>
        <v>-0.2334</v>
      </c>
      <c r="M15" s="18">
        <f>72.9*EXP(L15)</f>
        <v>57.72490093094225</v>
      </c>
      <c r="N15" s="92">
        <f>AVERAGE(K15,M15)</f>
        <v>55.26384661127153</v>
      </c>
    </row>
    <row r="16" spans="1:14" ht="12.75">
      <c r="A16" s="18">
        <f>63.2-15*LN(F6)</f>
        <v>60.46517664809068</v>
      </c>
      <c r="B16" s="18">
        <f>-0.1167*(F6)</f>
        <v>-0.14004</v>
      </c>
      <c r="C16" s="18">
        <f>72.9*EXP(B16)</f>
        <v>63.373680362658824</v>
      </c>
      <c r="D16" s="92">
        <f>AVERAGE(A16,C16)</f>
        <v>61.91942850537475</v>
      </c>
      <c r="K16" s="18">
        <f>63.2-15*LN(O6)</f>
        <v>52.802792291600824</v>
      </c>
      <c r="L16" s="18">
        <f>-0.1167*(O6)</f>
        <v>-0.2334</v>
      </c>
      <c r="M16" s="18">
        <f>72.9*EXP(L16)</f>
        <v>57.72490093094225</v>
      </c>
      <c r="N16" s="92">
        <f>AVERAGE(K16,M16)</f>
        <v>55.26384661127153</v>
      </c>
    </row>
    <row r="17" spans="1:14" ht="12.75">
      <c r="A17" s="18">
        <f>63.2-15*LN(F7)</f>
        <v>41.32077465950725</v>
      </c>
      <c r="B17" s="18">
        <f>-0.1167*(F7)</f>
        <v>-0.50181</v>
      </c>
      <c r="C17" s="18">
        <f>72.9*EXP(B17)</f>
        <v>44.13612636351219</v>
      </c>
      <c r="D17" s="92">
        <f>AVERAGE(A17,C17)</f>
        <v>42.72845051150972</v>
      </c>
      <c r="K17" s="18">
        <f>63.2-15*LN(O7)</f>
        <v>38.7613919040458</v>
      </c>
      <c r="L17" s="18">
        <f>-0.1167*(O7)</f>
        <v>-0.59517</v>
      </c>
      <c r="M17" s="18">
        <f>72.9*EXP(L17)</f>
        <v>40.20207611787183</v>
      </c>
      <c r="N17" s="92">
        <f>AVERAGE(K17,M17)</f>
        <v>39.48173401095882</v>
      </c>
    </row>
    <row r="18" spans="1:14" ht="12.75">
      <c r="A18" s="18">
        <f>63.2-15*LN(F8)</f>
        <v>58.8099557905577</v>
      </c>
      <c r="B18" s="18">
        <f>-0.1167*(F8)</f>
        <v>-0.15637800000000002</v>
      </c>
      <c r="C18" s="18">
        <f>72.9*EXP(B18)</f>
        <v>62.346693473180636</v>
      </c>
      <c r="D18" s="92">
        <f>AVERAGE(A18,C18)</f>
        <v>60.578324631869165</v>
      </c>
      <c r="K18" s="18">
        <f>63.2-15*LN(O8)</f>
        <v>51.03604675675507</v>
      </c>
      <c r="L18" s="18">
        <f>-0.1167*(O8)</f>
        <v>-0.262575</v>
      </c>
      <c r="M18" s="18">
        <f>72.9*EXP(L18)</f>
        <v>56.065106921762606</v>
      </c>
      <c r="N18" s="92">
        <f>AVERAGE(K18,M18)</f>
        <v>53.55057683925884</v>
      </c>
    </row>
    <row r="19" spans="1:14" ht="12.75">
      <c r="A19" s="18">
        <f>63.2-15*LN(F9)</f>
        <v>40.840184353338</v>
      </c>
      <c r="B19" s="18">
        <f>-0.1167*(F9)</f>
        <v>-0.518148</v>
      </c>
      <c r="C19" s="18">
        <f>72.9*EXP(B19)</f>
        <v>43.420889014690204</v>
      </c>
      <c r="D19" s="92">
        <f>AVERAGE(A19,C19)</f>
        <v>42.1305366840141</v>
      </c>
      <c r="K19" s="18">
        <f>63.2-15*LN(O9)</f>
        <v>38.04355158638128</v>
      </c>
      <c r="L19" s="18">
        <f>-0.1167*(O9)</f>
        <v>-0.6243449999999999</v>
      </c>
      <c r="M19" s="18">
        <f>72.9*EXP(L19)</f>
        <v>39.04612497684078</v>
      </c>
      <c r="N19" s="92">
        <f>AVERAGE(K19,M19)</f>
        <v>38.54483828161103</v>
      </c>
    </row>
  </sheetData>
  <sheetProtection/>
  <mergeCells count="6">
    <mergeCell ref="B2:C2"/>
    <mergeCell ref="K2:L2"/>
    <mergeCell ref="M2:N2"/>
    <mergeCell ref="O2:P2"/>
    <mergeCell ref="D2:E2"/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SIHVONEN Kirsi</cp:lastModifiedBy>
  <dcterms:created xsi:type="dcterms:W3CDTF">2007-02-12T20:36:15Z</dcterms:created>
  <dcterms:modified xsi:type="dcterms:W3CDTF">2009-06-25T13:49:58Z</dcterms:modified>
  <cp:category/>
  <cp:version/>
  <cp:contentType/>
  <cp:contentStatus/>
</cp:coreProperties>
</file>