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341" windowWidth="14100" windowHeight="8895" tabRatio="599" activeTab="0"/>
  </bookViews>
  <sheets>
    <sheet name="Start" sheetId="1" r:id="rId1"/>
    <sheet name="Process" sheetId="2" state="hidden" r:id="rId2"/>
    <sheet name="Fillmixload" sheetId="3" state="hidden" r:id="rId3"/>
    <sheet name="Fillmixload_results" sheetId="4" state="hidden" r:id="rId4"/>
    <sheet name="Wiping" sheetId="5" state="hidden" r:id="rId5"/>
    <sheet name="Wiping_results" sheetId="6" state="hidden" r:id="rId6"/>
    <sheet name="Wiping (prob)" sheetId="7" state="hidden" r:id="rId7"/>
    <sheet name="Dispersion hand-held tools" sheetId="8" state="hidden" r:id="rId8"/>
    <sheet name="Dispersion_results" sheetId="9" state="hidden" r:id="rId9"/>
    <sheet name="Spraying" sheetId="10" state="hidden" r:id="rId10"/>
    <sheet name="Spraying_results" sheetId="11" state="hidden" r:id="rId11"/>
    <sheet name="Immersion" sheetId="12" state="hidden" r:id="rId12"/>
    <sheet name="Immersion_results" sheetId="13" state="hidden" r:id="rId13"/>
    <sheet name="Mechanical_treatment" sheetId="14" state="hidden" r:id="rId14"/>
    <sheet name="Mechanical_treatment_results" sheetId="15" state="hidden" r:id="rId15"/>
    <sheet name="paranew" sheetId="16" state="hidden" r:id="rId16"/>
    <sheet name="warnings" sheetId="17" state="hidden" r:id="rId17"/>
    <sheet name="Changes and validity" sheetId="18" r:id="rId18"/>
    <sheet name="Explanation" sheetId="19" r:id="rId19"/>
  </sheets>
  <definedNames>
    <definedName name="bodyeffectDEO3" localSheetId="7">'Dispersion hand-held tools'!$F$15</definedName>
    <definedName name="DEO1choice" localSheetId="18">'Explanation'!#REF!</definedName>
    <definedName name="DEO2choice" localSheetId="18">'Explanation'!#REF!</definedName>
    <definedName name="DEO3_unit_op2">#REF!</definedName>
    <definedName name="DEO3_unit_opa">#REF!</definedName>
    <definedName name="DEO3_unit_opb">#REF!</definedName>
    <definedName name="DEO3_unit2_op1">#REF!</definedName>
    <definedName name="DEO3_unit2_op2">#REF!</definedName>
    <definedName name="DEO3_unit2_opa">#REF!</definedName>
    <definedName name="DEO3_unit2_opb">#REF!</definedName>
    <definedName name="DEO3_ventil_op1">#REF!</definedName>
    <definedName name="DEO3_ventil_op2">#REF!</definedName>
    <definedName name="DEO3_ventil_op3">#REF!</definedName>
    <definedName name="DEO3_ventil_opa">#REF!</definedName>
    <definedName name="DEO3_ventil_opb">#REF!</definedName>
    <definedName name="DEO3_ventil_opc">#REF!</definedName>
    <definedName name="DEO3_viscos_op1">#REF!</definedName>
    <definedName name="DEO3_viscos_op2">#REF!</definedName>
    <definedName name="DEO3_viscos_op3">#REF!</definedName>
    <definedName name="DEO3_viscos_opa">#REF!</definedName>
    <definedName name="DEO3_viscos_opb">#REF!</definedName>
    <definedName name="DEO3_viscos_opc">#REF!</definedName>
    <definedName name="DEO3_volat_op1">#REF!</definedName>
    <definedName name="DEO3_volat_op2">#REF!</definedName>
    <definedName name="DEO3_volat_op3">#REF!</definedName>
    <definedName name="DEO3_volat_opa">#REF!</definedName>
    <definedName name="DEO3_volat_opb">#REF!</definedName>
    <definedName name="DEO3_volat_opc">#REF!</definedName>
    <definedName name="DEO3choice" localSheetId="18">'Explanation'!#REF!</definedName>
    <definedName name="DEO3choice">'Start'!$S$40</definedName>
    <definedName name="DEO4_bodyeffect">#REF!</definedName>
    <definedName name="DEO4_contfreq_op1">#REF!</definedName>
    <definedName name="DEO4_contfreq_op2">#REF!</definedName>
    <definedName name="DEO4_contfreq_op3">#REF!</definedName>
    <definedName name="DEO4_contfreq_opa">#REF!</definedName>
    <definedName name="DEO4_contfreq_opb">#REF!</definedName>
    <definedName name="DEO4_contfreq_opc">#REF!</definedName>
    <definedName name="DEO4_dirair_op1">#REF!</definedName>
    <definedName name="DEO4_dirair_op2">#REF!</definedName>
    <definedName name="DEO4_dirair_op3">#REF!</definedName>
    <definedName name="DEO4_dirair_opa">#REF!</definedName>
    <definedName name="DEO4_dirair_opb">#REF!</definedName>
    <definedName name="DEO4_dirair_opc">#REF!</definedName>
    <definedName name="DEO4_GSD">#REF!</definedName>
    <definedName name="DEO4_handeffect">#REF!</definedName>
    <definedName name="DEO4_indoors_op1">#REF!</definedName>
    <definedName name="DEO4_indoors_op2">#REF!</definedName>
    <definedName name="DEO4_indoors_opa">#REF!</definedName>
    <definedName name="DEO4_indoors_opb">#REF!</definedName>
    <definedName name="DEO4_intercept">#REF!</definedName>
    <definedName name="DEO4_orient_op1">#REF!</definedName>
    <definedName name="DEO4_orient_op2">#REF!</definedName>
    <definedName name="DEO4_orient_op3">#REF!</definedName>
    <definedName name="DEO4_orient_opa">#REF!</definedName>
    <definedName name="DEO4_orient_opb">#REF!</definedName>
    <definedName name="DEO4_orient_opc">#REF!</definedName>
    <definedName name="DEO4_physstate_op1">#REF!</definedName>
    <definedName name="DEO4_physstate_op2">#REF!</definedName>
    <definedName name="DEO4_physstate_op3">#REF!</definedName>
    <definedName name="DEO4_physstate_opa">#REF!</definedName>
    <definedName name="DEO4_physstate_opb">#REF!</definedName>
    <definedName name="DEO4_physstate_opc">#REF!</definedName>
    <definedName name="DEO4_powerbody">#REF!</definedName>
    <definedName name="DEO4_powerhand">#REF!</definedName>
    <definedName name="DEO4_prox_op1">#REF!</definedName>
    <definedName name="DEO4_prox_op2">#REF!</definedName>
    <definedName name="DEO4_prox_op3">#REF!</definedName>
    <definedName name="DEO4_prox_opa">#REF!</definedName>
    <definedName name="DEO4_prox_opb">#REF!</definedName>
    <definedName name="DEO4_prox_opc">#REF!</definedName>
    <definedName name="DEO4_segregation_op1">#REF!</definedName>
    <definedName name="DEO4_segregation_op2">#REF!</definedName>
    <definedName name="DEO4_segregation_opa">#REF!</definedName>
    <definedName name="DEO4_segregation_opb">#REF!</definedName>
    <definedName name="DEO4_unit_op1">#REF!</definedName>
    <definedName name="DEO4_unit_op2">#REF!</definedName>
    <definedName name="DEO4_unit_opa">#REF!</definedName>
    <definedName name="DEO4_unit_opb">#REF!</definedName>
    <definedName name="DEO4_unit2_op1">#REF!</definedName>
    <definedName name="DEO4_unit2_op2">#REF!</definedName>
    <definedName name="DEO4_unit2_opa">#REF!</definedName>
    <definedName name="DEO4_unit2_opb">#REF!</definedName>
    <definedName name="DEO4_ventil_op1">#REF!</definedName>
    <definedName name="DEO4_ventil_op2">#REF!</definedName>
    <definedName name="DEO4_ventil_op3">#REF!</definedName>
    <definedName name="DEO4_ventil_opa">#REF!</definedName>
    <definedName name="DEO4_ventil_opb">#REF!</definedName>
    <definedName name="DEO4_ventil_opc">#REF!</definedName>
    <definedName name="DEO4_viscos_op1">#REF!</definedName>
    <definedName name="DEO4_viscos_op2">#REF!</definedName>
    <definedName name="DEO4_viscos_op3">#REF!</definedName>
    <definedName name="DEO4_viscos_opa">#REF!</definedName>
    <definedName name="DEO4_viscos_opb">#REF!</definedName>
    <definedName name="DEO4_viscos_opc">#REF!</definedName>
    <definedName name="DEO4_volat_op1">#REF!</definedName>
    <definedName name="DEO4_volat_op2">#REF!</definedName>
    <definedName name="DEO4_volat_op3">#REF!</definedName>
    <definedName name="DEO4_volat_opa">#REF!</definedName>
    <definedName name="DEO4_volat_opb">#REF!</definedName>
    <definedName name="DEO4_volat_opc">#REF!</definedName>
    <definedName name="DEO4choice" localSheetId="18">'Explanation'!#REF!</definedName>
    <definedName name="DEO4choice">'Start'!$S$41</definedName>
    <definedName name="DEO5_bodyeffect">#REF!</definedName>
    <definedName name="DEO5_contfreq_op1">#REF!</definedName>
    <definedName name="DEO5_contfreq_op2">#REF!</definedName>
    <definedName name="DEO5_contfreq_op3">#REF!</definedName>
    <definedName name="DEO5_contfreq_opa">#REF!</definedName>
    <definedName name="DEO5_contfreq_opb">#REF!</definedName>
    <definedName name="DEO5_contfreq_opc">#REF!</definedName>
    <definedName name="DEO5_dirair_op1">#REF!</definedName>
    <definedName name="DEO5_dirair_op2">#REF!</definedName>
    <definedName name="DEO5_dirair_op3">#REF!</definedName>
    <definedName name="DEO5_dirair_opa">#REF!</definedName>
    <definedName name="DEO5_dirair_opb">#REF!</definedName>
    <definedName name="DEO5_dirair_opc">#REF!</definedName>
    <definedName name="DEO5_GSD">#REF!</definedName>
    <definedName name="DEO5_handeffect">#REF!</definedName>
    <definedName name="DEO5_intercept">#REF!</definedName>
    <definedName name="DEO5_orient_op1">#REF!</definedName>
    <definedName name="DEO5_orient_op2">#REF!</definedName>
    <definedName name="DEO5_orient_op3">#REF!</definedName>
    <definedName name="DEO5_orient_opa">#REF!</definedName>
    <definedName name="DEO5_orient_opb">#REF!</definedName>
    <definedName name="DEO5_orient_opc">#REF!</definedName>
    <definedName name="DEO5_physstate_op1">#REF!</definedName>
    <definedName name="DEO5_physstate_op2">#REF!</definedName>
    <definedName name="DEO5_physstate_op3">#REF!</definedName>
    <definedName name="DEO5_physstate_opa">#REF!</definedName>
    <definedName name="DEO5_physstate_opb">#REF!</definedName>
    <definedName name="DEO5_physstate_opc">#REF!</definedName>
    <definedName name="DEO5_powerbody">#REF!</definedName>
    <definedName name="DEO5_powerhand">#REF!</definedName>
    <definedName name="DEO5_prox_op1">#REF!</definedName>
    <definedName name="DEO5_prox_op2">#REF!</definedName>
    <definedName name="DEO5_prox_op3">#REF!</definedName>
    <definedName name="DEO5_prox_opa">#REF!</definedName>
    <definedName name="DEO5_prox_opb">#REF!</definedName>
    <definedName name="DEO5_prox_opc">#REF!</definedName>
    <definedName name="DEO5_unit_op1">#REF!</definedName>
    <definedName name="DEO5_unit_op2">#REF!</definedName>
    <definedName name="DEO5_unit_opa">#REF!</definedName>
    <definedName name="DEO5_unit_opb">#REF!</definedName>
    <definedName name="DEO5_unit2_op1">#REF!</definedName>
    <definedName name="DEO5_unit2_op2">#REF!</definedName>
    <definedName name="DEO5_unit2_opa">#REF!</definedName>
    <definedName name="DEO5_unit2_opb">#REF!</definedName>
    <definedName name="DEO5_ventil_op1">#REF!</definedName>
    <definedName name="DEO5_ventil_op2">#REF!</definedName>
    <definedName name="DEO5_ventil_op3">#REF!</definedName>
    <definedName name="DEO5_ventil_opa">#REF!</definedName>
    <definedName name="DEO5_ventil_opb">#REF!</definedName>
    <definedName name="DEO5_ventil_opc">#REF!</definedName>
    <definedName name="DEO5_viscos_op1">#REF!</definedName>
    <definedName name="DEO5_viscos_op2">#REF!</definedName>
    <definedName name="DEO5_viscos_op3">#REF!</definedName>
    <definedName name="DEO5_viscos_opa">#REF!</definedName>
    <definedName name="DEO5_viscos_opb">#REF!</definedName>
    <definedName name="DEO5_viscos_opc">#REF!</definedName>
    <definedName name="DEO5_volat_op1">#REF!</definedName>
    <definedName name="DEO5_volat_op2">#REF!</definedName>
    <definedName name="DEO5_volat_op3">#REF!</definedName>
    <definedName name="DEO5_volat_opa">#REF!</definedName>
    <definedName name="DEO5_volat_opb">#REF!</definedName>
    <definedName name="DEO5_volat_opc">#REF!</definedName>
    <definedName name="DEO5choice" localSheetId="18">'Explanation'!#REF!</definedName>
    <definedName name="DEO5choice">'Start'!$S$42</definedName>
    <definedName name="DEO6_bodyeffect">#REF!</definedName>
    <definedName name="DEO6_contactfreq">#REF!</definedName>
    <definedName name="DEO6_contfreq_op1">#REF!</definedName>
    <definedName name="DEO6_contfreq_op2">#REF!</definedName>
    <definedName name="DEO6_contfreq_op3">#REF!</definedName>
    <definedName name="DEO6_contfreq_opa">#REF!</definedName>
    <definedName name="DEO6_contfreq_opb">#REF!</definedName>
    <definedName name="DEO6_contfreq_opc">#REF!</definedName>
    <definedName name="DEO6_dirair_op1">#REF!</definedName>
    <definedName name="DEO6_dirair_op2">#REF!</definedName>
    <definedName name="DEO6_dirair_op3">#REF!</definedName>
    <definedName name="DEO6_dirair_opa">#REF!</definedName>
    <definedName name="DEO6_dirair_opb">#REF!</definedName>
    <definedName name="DEO6_dirair_opc">#REF!</definedName>
    <definedName name="DEO6_GSD">#REF!</definedName>
    <definedName name="DEO6_handeffect">#REF!</definedName>
    <definedName name="DEO6_intercept">#REF!</definedName>
    <definedName name="DEO6_orient_op1">#REF!</definedName>
    <definedName name="DEO6_orient_op2">#REF!</definedName>
    <definedName name="DEO6_orient_op3">#REF!</definedName>
    <definedName name="DEO6_orient_opa">#REF!</definedName>
    <definedName name="DEO6_orient_opb">#REF!</definedName>
    <definedName name="DEO6_orient_opc">#REF!</definedName>
    <definedName name="DEO6_physstate">#REF!</definedName>
    <definedName name="DEO6_physstate_op1">#REF!</definedName>
    <definedName name="DEO6_physstate_op2">#REF!</definedName>
    <definedName name="DEO6_physstate_op3">#REF!</definedName>
    <definedName name="DEO6_physstate_opa">#REF!</definedName>
    <definedName name="DEO6_physstate_opb">#REF!</definedName>
    <definedName name="DEO6_physstate_opc">#REF!</definedName>
    <definedName name="DEO6_powerbody">#REF!</definedName>
    <definedName name="DEO6_powerhand">#REF!</definedName>
    <definedName name="DEO6_prox_op1">#REF!</definedName>
    <definedName name="DEO6_prox_op2">#REF!</definedName>
    <definedName name="DEO6_prox_op3">#REF!</definedName>
    <definedName name="DEO6_prox_opa">#REF!</definedName>
    <definedName name="DEO6_prox_opb">#REF!</definedName>
    <definedName name="DEO6_prox_opc">#REF!</definedName>
    <definedName name="DEO6_proximity">#REF!</definedName>
    <definedName name="DEO6_unit_op1">#REF!</definedName>
    <definedName name="DEO6_unit_op2">#REF!</definedName>
    <definedName name="DEO6_unit_opa">#REF!</definedName>
    <definedName name="DEO6_unit_opb">#REF!</definedName>
    <definedName name="DEO6_unit2_op1">#REF!</definedName>
    <definedName name="DEO6_unit2_op2">#REF!</definedName>
    <definedName name="DEO6_unit2_opa">#REF!</definedName>
    <definedName name="DEO6_unit2_opb">#REF!</definedName>
    <definedName name="DEO6_ventil_op1">#REF!</definedName>
    <definedName name="DEO6_ventil_op2">#REF!</definedName>
    <definedName name="DEO6_ventil_op3">#REF!</definedName>
    <definedName name="DEO6_ventil_opa">#REF!</definedName>
    <definedName name="DEO6_ventil_opb">#REF!</definedName>
    <definedName name="DEO6_ventil_opc">#REF!</definedName>
    <definedName name="DEO6_viscos_op1">#REF!</definedName>
    <definedName name="DEO6_viscos_op2">#REF!</definedName>
    <definedName name="DEO6_viscos_op3">#REF!</definedName>
    <definedName name="DEO6_viscos_opa">#REF!</definedName>
    <definedName name="DEO6_viscos_opb">#REF!</definedName>
    <definedName name="DEO6_viscos_opc">#REF!</definedName>
    <definedName name="DEO6_volat_op1">#REF!</definedName>
    <definedName name="DEO6_volat_op2">#REF!</definedName>
    <definedName name="DEO6_volat_op3">#REF!</definedName>
    <definedName name="DEO6_volat_opa">#REF!</definedName>
    <definedName name="DEO6_volat_opb">#REF!</definedName>
    <definedName name="DEO6_volat_opc">#REF!</definedName>
    <definedName name="DEO6choice" localSheetId="18">'Explanation'!#REF!</definedName>
    <definedName name="DEO6choice">'Start'!$S$43</definedName>
    <definedName name="deochoice" localSheetId="18">'Explanation'!#REF!</definedName>
    <definedName name="deochoice">'Start'!$S$38:$T$43</definedName>
    <definedName name="Digitfind">'paranew'!$AD$4:$AD$17</definedName>
    <definedName name="digloadmedbodyDEO1">#REF!</definedName>
    <definedName name="digloadmedbodyDEO2">#REF!</definedName>
    <definedName name="digloadmedbodyDEO3" localSheetId="7">'Dispersion hand-held tools'!$K$13</definedName>
    <definedName name="digloadmedbodyDEO3">#REF!</definedName>
    <definedName name="digloadmedbodyDEO4">#REF!</definedName>
    <definedName name="digloadmedbodyDEO5">#REF!</definedName>
    <definedName name="digloadmedbodyDEO6">#REF!</definedName>
    <definedName name="digloadmedhandDEO1">#REF!</definedName>
    <definedName name="digloadmedhandDEO2">#REF!</definedName>
    <definedName name="digloadmedhandDEO3" localSheetId="7">'Dispersion hand-held tools'!$K$11</definedName>
    <definedName name="digloadmedhandDEO3">#REF!</definedName>
    <definedName name="digloadmedhandDEO4">#REF!</definedName>
    <definedName name="digloadmedhandDEO5">#REF!</definedName>
    <definedName name="digloadmedhandDEO6">#REF!</definedName>
    <definedName name="digloadperbodyDEO1">#REF!</definedName>
    <definedName name="digloadperbodyDEO2">#REF!</definedName>
    <definedName name="digloadperbodyDEO3" localSheetId="7">'Dispersion hand-held tools'!$K$15</definedName>
    <definedName name="digloadperbodyDEO3">#REF!</definedName>
    <definedName name="digloadperbodyDEO4">#REF!</definedName>
    <definedName name="digloadperbodyDEO5">#REF!</definedName>
    <definedName name="digloadperbodyDEO6">#REF!</definedName>
    <definedName name="digloadperhandDEO1">#REF!</definedName>
    <definedName name="digloadperhandDEO2">#REF!</definedName>
    <definedName name="digloadperhandDEO3" localSheetId="7">'Dispersion hand-held tools'!$K$14</definedName>
    <definedName name="digloadperhandDEO3">#REF!</definedName>
    <definedName name="digloadperhandDEO4">#REF!</definedName>
    <definedName name="digloadperhandDEO5">#REF!</definedName>
    <definedName name="digloadperhandDEO6">#REF!</definedName>
    <definedName name="digratemedbodyDEO1">#REF!</definedName>
    <definedName name="digratemedbodyDEO2">#REF!</definedName>
    <definedName name="digratemedbodyDEO3" localSheetId="7">'Dispersion hand-held tools'!$K$8</definedName>
    <definedName name="digratemedbodyDEO3">#REF!</definedName>
    <definedName name="digratemedbodyDEO4">#REF!</definedName>
    <definedName name="digratemedbodyDEO5">#REF!</definedName>
    <definedName name="digratemedbodyDEO6">#REF!</definedName>
    <definedName name="digratemedhandDEO1">#REF!</definedName>
    <definedName name="digratemedhandDEO2">#REF!</definedName>
    <definedName name="digratemedhandDEO3" localSheetId="7">'Dispersion hand-held tools'!$K$7</definedName>
    <definedName name="digratemedhandDEO3">#REF!</definedName>
    <definedName name="digratemedhandDEO4">#REF!</definedName>
    <definedName name="digratemedhandDEO5">#REF!</definedName>
    <definedName name="digratemedhandDEO6">#REF!</definedName>
    <definedName name="digrateperbodyDEO1">#REF!</definedName>
    <definedName name="digrateperbodyDEO2">#REF!</definedName>
    <definedName name="digrateperbodyDEO3" localSheetId="7">'Dispersion hand-held tools'!$K$10</definedName>
    <definedName name="digrateperbodyDEO3">#REF!</definedName>
    <definedName name="digrateperbodyDEO4">#REF!</definedName>
    <definedName name="digrateperbodyDEO5">#REF!</definedName>
    <definedName name="digrateperbodyDEO6">#REF!</definedName>
    <definedName name="digrateperhandDEO1">#REF!</definedName>
    <definedName name="digrateperhandDEO2">#REF!</definedName>
    <definedName name="digrateperhandDEO3" localSheetId="7">'Dispersion hand-held tools'!$K$9</definedName>
    <definedName name="digrateperhandDEO3">#REF!</definedName>
    <definedName name="digrateperhandDEO4">#REF!</definedName>
    <definedName name="digrateperhandDEO5">#REF!</definedName>
    <definedName name="digrateperhandDEO6">#REF!</definedName>
    <definedName name="Dispersion_applicationrate">'Dispersion hand-held tools'!$C$10</definedName>
    <definedName name="Dispersion_bodyeffect">'paranew'!$K$28</definedName>
    <definedName name="Dispersion_contactfrequency1">'paranew'!$K$39</definedName>
    <definedName name="Dispersion_contactfrequency2">'paranew'!$K$40</definedName>
    <definedName name="Dispersion_contactfrequency3">'paranew'!$K$41</definedName>
    <definedName name="Dispersion_contactfrequencya">'paranew'!$L$39</definedName>
    <definedName name="Dispersion_contactfrequencyb">'paranew'!$L$40</definedName>
    <definedName name="Dispersion_contactfrequencyc">'paranew'!$L$41</definedName>
    <definedName name="Dispersion_cumulativeduration">'Dispersion hand-held tools'!$C$21</definedName>
    <definedName name="Dispersion_digitmedianloadingbody">'Dispersion hand-held tools'!$K$13</definedName>
    <definedName name="Dispersion_digitmedianloadinghands">'Dispersion hand-held tools'!$K$11</definedName>
    <definedName name="Dispersion_digitmedianratebody">'Dispersion hand-held tools'!$K$8</definedName>
    <definedName name="Dispersion_digitmedianratehands">'Dispersion hand-held tools'!$K$7</definedName>
    <definedName name="Dispersion_digitpercentileloadingbody">'Dispersion hand-held tools'!$K$15</definedName>
    <definedName name="Dispersion_digitpercentileloadinghands">'Dispersion hand-held tools'!$K$14</definedName>
    <definedName name="Dispersion_digitpercentileratebody">'Dispersion hand-held tools'!$K$10</definedName>
    <definedName name="Dispersion_digitpercentileratehands">'Dispersion hand-held tools'!$K$9</definedName>
    <definedName name="Dispersion_directionairflow1">'paranew'!$K$22</definedName>
    <definedName name="Dispersion_directionairflow2">'paranew'!$K$23</definedName>
    <definedName name="Dispersion_directionairflow3">'paranew'!$K$24</definedName>
    <definedName name="Dispersion_directionairflowa">'paranew'!$L$22</definedName>
    <definedName name="Dispersion_directionairflowb">'paranew'!$L$23</definedName>
    <definedName name="Dispersion_directionairflowc">'paranew'!$L$24</definedName>
    <definedName name="Dispersion_GSDbody">'paranew'!$K$7</definedName>
    <definedName name="Dispersion_GSDhands">'paranew'!$K$6</definedName>
    <definedName name="Dispersion_handeffect">'paranew'!$K$30</definedName>
    <definedName name="Dispersion_intercept">'paranew'!$K$4</definedName>
    <definedName name="Dispersion_lnapplicationrate">'paranew'!$K$14</definedName>
    <definedName name="Dispersion_medianbodyloadingrounded">'Dispersion hand-held tools'!$N$14</definedName>
    <definedName name="Dispersion_medianbodyraterounded">'Dispersion hand-held tools'!$N$8</definedName>
    <definedName name="Dispersion_medianhandsloadingrounded">'Dispersion hand-held tools'!$N$13</definedName>
    <definedName name="Dispersion_medianhandsraterounded">'Dispersion hand-held tools'!$N$7</definedName>
    <definedName name="Dispersion_medianloadingbody">'Dispersion hand-held tools'!$J$13</definedName>
    <definedName name="Dispersion_medianloadinghands">'Dispersion hand-held tools'!$J$11</definedName>
    <definedName name="Dispersion_medianratebody">'Dispersion hand-held tools'!$J$8</definedName>
    <definedName name="Dispersion_medianratehands">'Dispersion hand-held tools'!$J$7</definedName>
    <definedName name="Dispersion_orientation">'Dispersion hand-held tools'!$F$5</definedName>
    <definedName name="Dispersion_orientation1">'paranew'!$K$8</definedName>
    <definedName name="Dispersion_orientation2">'paranew'!$K$9</definedName>
    <definedName name="Dispersion_orientation3">'paranew'!$K$10</definedName>
    <definedName name="Dispersion_orientationa">'paranew'!$L$8</definedName>
    <definedName name="Dispersion_orientationb">'paranew'!$L$9</definedName>
    <definedName name="Dispersion_orientationc">'paranew'!$L$10</definedName>
    <definedName name="Dispersion_percentile">'Dispersion hand-held tools'!$C$15</definedName>
    <definedName name="Dispersion_percentilebodyloadingrounded">'Dispersion hand-held tools'!$N$16</definedName>
    <definedName name="Dispersion_percentilebodyraterounded">'Dispersion hand-held tools'!$N$10</definedName>
    <definedName name="Dispersion_percentilehandsloadingrounded">'Dispersion hand-held tools'!$N$15</definedName>
    <definedName name="Dispersion_percentilehandsraterounded">'Dispersion hand-held tools'!$N$9</definedName>
    <definedName name="Dispersion_percentileloadingbody">'Dispersion hand-held tools'!$J$15</definedName>
    <definedName name="Dispersion_percentileloadinghands">'Dispersion hand-held tools'!$J$14</definedName>
    <definedName name="Dispersion_percentileratebody">'Dispersion hand-held tools'!$J$10</definedName>
    <definedName name="Dispersion_percentileratehands">'Dispersion hand-held tools'!$J$9</definedName>
    <definedName name="Dispersion_physicalstate1">'paranew'!$K$36</definedName>
    <definedName name="Dispersion_physicalstate2">'paranew'!$K$37</definedName>
    <definedName name="Dispersion_physicalstate3">'paranew'!$K$38</definedName>
    <definedName name="Dispersion_physicalstatea">'paranew'!$L$36</definedName>
    <definedName name="Dispersion_physicalstateb">'paranew'!$L$37</definedName>
    <definedName name="Dispersion_physicalstatec">'paranew'!$L$38</definedName>
    <definedName name="Dispersion_powerbody">'paranew'!$K$32</definedName>
    <definedName name="Dispersion_powerhand">'paranew'!$K$34</definedName>
    <definedName name="Dispersion_proximity1">'paranew'!$K$11</definedName>
    <definedName name="Dispersion_proximity2">'paranew'!$K$12</definedName>
    <definedName name="Dispersion_proximity3">'paranew'!$K$13</definedName>
    <definedName name="Dispersion_proximitya">'paranew'!$L$11</definedName>
    <definedName name="Dispersion_proximityb">'paranew'!$L$12</definedName>
    <definedName name="Dispersion_proximityc">'paranew'!$L$13</definedName>
    <definedName name="Dispersion_tools">'Dispersion hand-held tools'!$F$13</definedName>
    <definedName name="Dispersion_tools_op1">'paranew'!$K$56</definedName>
    <definedName name="Dispersion_tools_op2">'paranew'!$K$57</definedName>
    <definedName name="Dispersion_tools_op3">'paranew'!$K$58</definedName>
    <definedName name="Dispersion_tools_opa">'paranew'!$L$56</definedName>
    <definedName name="Dispersion_tools_opb">'paranew'!$L$57</definedName>
    <definedName name="Dispersion_tools_opc">'paranew'!$L$58</definedName>
    <definedName name="Dispersion_unit1">'paranew'!$K$43</definedName>
    <definedName name="Dispersion_unit2">'paranew'!$K$44</definedName>
    <definedName name="Dispersion_unit21">'paranew'!$K$46</definedName>
    <definedName name="Dispersion_unit22">'paranew'!$K$47</definedName>
    <definedName name="Dispersion_unit2a">'paranew'!$L$46</definedName>
    <definedName name="Dispersion_unit2b">'paranew'!$L$47</definedName>
    <definedName name="Dispersion_unita">'paranew'!$L$43</definedName>
    <definedName name="Dispersion_unitb">'paranew'!$L$44</definedName>
    <definedName name="Dispersion_ventilation1">'paranew'!$K$25</definedName>
    <definedName name="Dispersion_ventilation2">'paranew'!$K$26</definedName>
    <definedName name="Dispersion_ventilation3">'paranew'!$K$27</definedName>
    <definedName name="Dispersion_ventilationa">'paranew'!$L$25</definedName>
    <definedName name="Dispersion_ventilationb">'paranew'!$L$26</definedName>
    <definedName name="Dispersion_ventilationc">'paranew'!$L$27</definedName>
    <definedName name="Dispersion_viscosity">'Dispersion hand-held tools'!$F$7</definedName>
    <definedName name="Dispersion_viscosity1">'paranew'!$K$19</definedName>
    <definedName name="Dispersion_viscosity2">'paranew'!$K$20</definedName>
    <definedName name="Dispersion_viscosity3">'paranew'!$K$21</definedName>
    <definedName name="Dispersion_viscositya">'paranew'!$L$19</definedName>
    <definedName name="Dispersion_viscosityb">'paranew'!$L$20</definedName>
    <definedName name="Dispersion_viscosityc">'paranew'!$L$21</definedName>
    <definedName name="Dispersion_volatility1">'paranew'!$K$16</definedName>
    <definedName name="Dispersion_volatility2">'paranew'!$K$17</definedName>
    <definedName name="Dispersion_volatility3">'paranew'!$K$18</definedName>
    <definedName name="Dispersion_volatilitya">'paranew'!$L$16</definedName>
    <definedName name="Dispersion_volatilityb">'paranew'!$L$17</definedName>
    <definedName name="Dispersion_volatilityc">'paranew'!$L$18</definedName>
    <definedName name="Fillmixload_aerosol">'Fillmixload'!$F$15</definedName>
    <definedName name="Fillmixload_aerosol_op1">'paranew'!$C$65</definedName>
    <definedName name="Fillmixload_aerosol_op2">'paranew'!$C$66</definedName>
    <definedName name="Fillmixload_aerosol_opa">'paranew'!$D$65</definedName>
    <definedName name="Fillmixload_aerosol_opb">'paranew'!$D$66</definedName>
    <definedName name="Fillmixload_applicationrate">'Fillmixload'!$F$20</definedName>
    <definedName name="Fillmixload_automation">'Fillmixload'!$F$17</definedName>
    <definedName name="Fillmixload_automation1">'paranew'!$C$68</definedName>
    <definedName name="Fillmixload_automation2">'paranew'!$C$69</definedName>
    <definedName name="Fillmixload_automationa">'paranew'!$D$68</definedName>
    <definedName name="Fillmixload_automationb">'paranew'!$D$69</definedName>
    <definedName name="Fillmixload_bodyeffect">'paranew'!$C$28</definedName>
    <definedName name="Fillmixload_contactfrequency">'Fillmixload'!$F$8</definedName>
    <definedName name="Fillmixload_contactfrequency1">'paranew'!$C$39</definedName>
    <definedName name="Fillmixload_contactfrequency2">'paranew'!$C$40</definedName>
    <definedName name="Fillmixload_contactfrequency3">'paranew'!$C$41</definedName>
    <definedName name="Fillmixload_contactfrequencya">'paranew'!$D$39</definedName>
    <definedName name="Fillmixload_contactfrequencyb">'paranew'!$D$40</definedName>
    <definedName name="Fillmixload_contactfrequencyc">'paranew'!$D$41</definedName>
    <definedName name="Fillmixload_contacttype">'Fillmixload'!$F$10</definedName>
    <definedName name="Fillmixload_conttype_op1">'paranew'!$C$61</definedName>
    <definedName name="Fillmixload_conttype_op2">'paranew'!$C$62</definedName>
    <definedName name="Fillmixload_conttype_opa">'paranew'!$D$61</definedName>
    <definedName name="Fillmixload_conttype_opb">'paranew'!$D$62</definedName>
    <definedName name="Fillmixload_cumulativeduration">'Fillmixload'!$F$29</definedName>
    <definedName name="Fillmixload_digitmedianloadingbody">'Fillmixload'!$L$11</definedName>
    <definedName name="Fillmixload_digitmedianloadinghands">'Fillmixload'!$L$10</definedName>
    <definedName name="Fillmixload_digitmedianratebody">'Fillmixload'!$L$6</definedName>
    <definedName name="Fillmixload_digitmedianratehands">'Fillmixload'!$L$5</definedName>
    <definedName name="Fillmixload_digitpercentileloadingbody">'Fillmixload'!$L$13</definedName>
    <definedName name="Fillmixload_digitpercentileloadinghands">'Fillmixload'!$L$12</definedName>
    <definedName name="Fillmixload_digitpercentileratebody">'Fillmixload'!$L$8</definedName>
    <definedName name="Fillmixload_digitpercentileratehands">'Fillmixload'!$L$7</definedName>
    <definedName name="Fillmixload_directionairflow1">'paranew'!$C$22</definedName>
    <definedName name="Fillmixload_directionairflow2">'paranew'!$C$23</definedName>
    <definedName name="Fillmixload_directionairflow3">'paranew'!$C$24</definedName>
    <definedName name="fillmixload_duration_liquid_upper">'warnings'!$B$6</definedName>
    <definedName name="fillmixload_duration_powder_upper">'warnings'!$B$7</definedName>
    <definedName name="Fillmixload_GSD">'paranew'!$C$6</definedName>
    <definedName name="Fillmixload_GSDbody_103">'paranew'!#REF!</definedName>
    <definedName name="Fillmixload_GSDbody_106">'paranew'!#REF!</definedName>
    <definedName name="Fillmixload_GSDbody_108">'paranew'!#REF!</definedName>
    <definedName name="Fillmixload_GSDbody_109">'paranew'!#REF!</definedName>
    <definedName name="Fillmixload_GSDbody_110">'paranew'!#REF!</definedName>
    <definedName name="Fillmixload_GSDbody_111">'paranew'!#REF!</definedName>
    <definedName name="Fillmixload_GSDbody_112">'paranew'!#REF!</definedName>
    <definedName name="Fillmixload_GSDbody_113">'paranew'!#REF!</definedName>
    <definedName name="Fillmixload_GSDbody_1141">'paranew'!#REF!</definedName>
    <definedName name="Fillmixload_GSDbody_1142">'paranew'!#REF!</definedName>
    <definedName name="Fillmixload_GSDhand_103">'paranew'!#REF!</definedName>
    <definedName name="Fillmixload_GSDhand_106">'paranew'!#REF!</definedName>
    <definedName name="Fillmixload_GSDhand_108">'paranew'!#REF!</definedName>
    <definedName name="Fillmixload_GSDhand_109">'paranew'!#REF!</definedName>
    <definedName name="Fillmixload_GSDhand_110">'paranew'!#REF!</definedName>
    <definedName name="Fillmixload_GSDhand_111">'paranew'!#REF!</definedName>
    <definedName name="Fillmixload_GSDhand_112">'paranew'!#REF!</definedName>
    <definedName name="Fillmixload_GSDhand_113">'paranew'!#REF!</definedName>
    <definedName name="Fillmixload_GSDhand_1141">'paranew'!#REF!</definedName>
    <definedName name="Fillmixload_GSDhand_1142">'paranew'!#REF!</definedName>
    <definedName name="Fillmixload_handeffect">'paranew'!$C$30</definedName>
    <definedName name="Fillmixload_intercept">'paranew'!$C$4</definedName>
    <definedName name="Fillmixload_lnapplicationrate">'paranew'!$C$14</definedName>
    <definedName name="Fillmixload_lnapplicationrate_automationinteraction">'paranew'!$C$15</definedName>
    <definedName name="Fillmixload_medbody_103">'paranew'!#REF!</definedName>
    <definedName name="Fillmixload_medbody_106">'paranew'!#REF!</definedName>
    <definedName name="Fillmixload_medbody_108">'paranew'!#REF!</definedName>
    <definedName name="Fillmixload_medbody_109">'paranew'!#REF!</definedName>
    <definedName name="Fillmixload_medbody_110">'paranew'!#REF!</definedName>
    <definedName name="Fillmixload_medbody_111">'paranew'!#REF!</definedName>
    <definedName name="Fillmixload_medbody_112">'paranew'!#REF!</definedName>
    <definedName name="Fillmixload_medbody_113">'paranew'!#REF!</definedName>
    <definedName name="Fillmixload_medbody_1141">'paranew'!#REF!</definedName>
    <definedName name="Fillmixload_medbody_1142">'paranew'!#REF!</definedName>
    <definedName name="Fillmixload_medhand_103">'paranew'!#REF!</definedName>
    <definedName name="Fillmixload_medhand_106">'paranew'!#REF!</definedName>
    <definedName name="Fillmixload_medhand_108">'paranew'!#REF!</definedName>
    <definedName name="Fillmixload_medhand_109">'paranew'!#REF!</definedName>
    <definedName name="Fillmixload_medhand_110">'paranew'!#REF!</definedName>
    <definedName name="Fillmixload_medhand_111">'paranew'!#REF!</definedName>
    <definedName name="Fillmixload_medhand_112">'paranew'!#REF!</definedName>
    <definedName name="Fillmixload_medhand_113">'paranew'!#REF!</definedName>
    <definedName name="Fillmixload_medhand_1141">'paranew'!#REF!</definedName>
    <definedName name="Fillmixload_medhand_1142">'paranew'!#REF!</definedName>
    <definedName name="Fillmixload_medianbodyloadingrounded">'Fillmixload'!$O$11</definedName>
    <definedName name="Fillmixload_medianbodyraterounded">'Fillmixload'!$O$6</definedName>
    <definedName name="Fillmixload_medianhandsloadingrounded">'Fillmixload'!$O$10</definedName>
    <definedName name="Fillmixload_medianhandsraterounded">'Fillmixload'!$O$5</definedName>
    <definedName name="Fillmixload_medianloadingbody">'Fillmixload'!$K$11</definedName>
    <definedName name="Fillmixload_medianloadinghands">'Fillmixload'!$K$10</definedName>
    <definedName name="Fillmixload_medianratebody">'Fillmixload'!$K$6</definedName>
    <definedName name="Fillmixload_medianratehands">'Fillmixload'!$K$5</definedName>
    <definedName name="Fillmixload_orientation1">'paranew'!$C$8</definedName>
    <definedName name="Fillmixload_orientation2">'paranew'!$C$9</definedName>
    <definedName name="Fillmixload_orientation3">'paranew'!$C$10</definedName>
    <definedName name="Fillmixload_percentile">'Fillmixload'!$F$23</definedName>
    <definedName name="Fillmixload_percentilebodyloadingrounded">'Fillmixload'!$O$13</definedName>
    <definedName name="Fillmixload_percentilebodyraterounded">'Fillmixload'!$O$8</definedName>
    <definedName name="Fillmixload_percentilehandsloadingrounded">'Fillmixload'!$O$12</definedName>
    <definedName name="Fillmixload_percentilehandsraterounded">'Fillmixload'!$O$7</definedName>
    <definedName name="Fillmixload_percentileloadingbody">'Fillmixload'!$K$13</definedName>
    <definedName name="Fillmixload_percentileloadinghands">'Fillmixload'!$K$12</definedName>
    <definedName name="Fillmixload_percentileratebody">'Fillmixload'!$K$8</definedName>
    <definedName name="Fillmixload_percentileratehands">'Fillmixload'!$K$7</definedName>
    <definedName name="Fillmixload_physicalstate">'Fillmixload'!$F$12</definedName>
    <definedName name="Fillmixload_physicalstate1">'paranew'!$C$36</definedName>
    <definedName name="Fillmixload_physicalstate2">'paranew'!$C$37</definedName>
    <definedName name="Fillmixload_physicalstate3">'paranew'!$C$38</definedName>
    <definedName name="Fillmixload_physicalstatea">'paranew'!$D$36</definedName>
    <definedName name="Fillmixload_physicalstateb">'paranew'!$D$37</definedName>
    <definedName name="Fillmixload_physicalstatec">'paranew'!$D$38</definedName>
    <definedName name="Fillmixload_powerbody">'paranew'!$C$32</definedName>
    <definedName name="Fillmixload_powerhand">'paranew'!$C$34</definedName>
    <definedName name="Fillmixload_proximity1">'paranew'!$C$11</definedName>
    <definedName name="Fillmixload_proximity2">'paranew'!$C$12</definedName>
    <definedName name="Fillmixload_proximity3">'paranew'!$C$13</definedName>
    <definedName name="Fillmixload_scenario_op1">'paranew'!#REF!</definedName>
    <definedName name="Fillmixload_scenario_op2">'paranew'!#REF!</definedName>
    <definedName name="Fillmixload_scenario_op3">'paranew'!#REF!</definedName>
    <definedName name="Fillmixload_scenario_op4">'paranew'!#REF!</definedName>
    <definedName name="Fillmixload_scenario_op5">'paranew'!#REF!</definedName>
    <definedName name="Fillmixload_scenario_op6">'paranew'!#REF!</definedName>
    <definedName name="Fillmixload_scenario_op7">'paranew'!#REF!</definedName>
    <definedName name="Fillmixload_scenario_op8">'paranew'!#REF!</definedName>
    <definedName name="Fillmixload_scenario_op9">'paranew'!#REF!</definedName>
    <definedName name="Fillmixload_scenario_opa">'paranew'!#REF!</definedName>
    <definedName name="Fillmixload_scenario_opb">'paranew'!#REF!</definedName>
    <definedName name="Fillmixload_scenario_opc">'paranew'!#REF!</definedName>
    <definedName name="Fillmixload_scenario_opd">'paranew'!#REF!</definedName>
    <definedName name="Fillmixload_scenario_ope">'paranew'!#REF!</definedName>
    <definedName name="Fillmixload_scenario_opf">'paranew'!#REF!</definedName>
    <definedName name="Fillmixload_scenario_opg">'paranew'!#REF!</definedName>
    <definedName name="Fillmixload_scenario_oph">'paranew'!#REF!</definedName>
    <definedName name="Fillmixload_scenario_opi">'paranew'!#REF!</definedName>
    <definedName name="Fillmixload_sigma_bw">'paranew'!$C$55</definedName>
    <definedName name="Fillmixload_sigma_ww_body">'paranew'!$C$56</definedName>
    <definedName name="Fillmixload_sigma_ww_hands">'paranew'!$C$57</definedName>
    <definedName name="Fillmixload_unit1">'paranew'!$C$43</definedName>
    <definedName name="Fillmixload_unit2">'paranew'!$C$44</definedName>
    <definedName name="Fillmixload_unit21">'paranew'!$C$46</definedName>
    <definedName name="Fillmixload_unit22">'paranew'!$C$47</definedName>
    <definedName name="Fillmixload_unit2a">'paranew'!$D$46</definedName>
    <definedName name="Fillmixload_unit2b">'paranew'!$D$47</definedName>
    <definedName name="Fillmixload_unita">'paranew'!$D$43</definedName>
    <definedName name="Fillmixload_unitb">'paranew'!$D$44</definedName>
    <definedName name="fillmixload_userate_liquid_upper">'warnings'!$B$2</definedName>
    <definedName name="fillmixload_userate_powder_upper">'warnings'!$B$3</definedName>
    <definedName name="Fillmixload_ventilation">'Fillmixload'!$F$5</definedName>
    <definedName name="Fillmixload_ventilation1">'paranew'!$C$25</definedName>
    <definedName name="Fillmixload_ventilation2">'paranew'!$C$26</definedName>
    <definedName name="Fillmixload_ventilation3">'paranew'!$C$27</definedName>
    <definedName name="Fillmixload_ventilationa">'paranew'!$D$25</definedName>
    <definedName name="Fillmixload_ventilationb">'paranew'!$D$26</definedName>
    <definedName name="Fillmixload_ventilationc">'paranew'!$D$27</definedName>
    <definedName name="Fillmixload_viscosity1">'paranew'!$C$19</definedName>
    <definedName name="Fillmixload_viscosity2">'paranew'!$C$20</definedName>
    <definedName name="Fillmixload_viscosity3">'paranew'!$C$21</definedName>
    <definedName name="Fillmixload_volatility1">'paranew'!$C$16</definedName>
    <definedName name="Fillmixload_volatility2">'paranew'!$C$17</definedName>
    <definedName name="Fillmixload_volatility3">'paranew'!$C$18</definedName>
    <definedName name="fillmixload_warning_duration_liquid_upper">'warnings'!$B$8</definedName>
    <definedName name="fillmixload_warning_duration_powder_upper">'warnings'!$B$9</definedName>
    <definedName name="fillmixload_warning_powder_automation">'warnings'!$B$10</definedName>
    <definedName name="fillmixload_warning_userate_liquid_lower">'warnings'!$B$11</definedName>
    <definedName name="fillmixload_warning_userate_liquid_upper">'warnings'!$B$4</definedName>
    <definedName name="fillmixload_warning_userate_powder_upper">'warnings'!$B$5</definedName>
    <definedName name="GSDDEO1">#REF!</definedName>
    <definedName name="GSDDEO2">#REF!</definedName>
    <definedName name="GSDDEO3" localSheetId="7">'Dispersion hand-held tools'!$F$20</definedName>
    <definedName name="GSDDEO3">#REF!</definedName>
    <definedName name="GSDDEO4">#REF!</definedName>
    <definedName name="GSDDEO5">#REF!</definedName>
    <definedName name="GSDDEO6">#REF!</definedName>
    <definedName name="handeffectDEO2">#REF!</definedName>
    <definedName name="handeffectDEO3" localSheetId="7">'Dispersion hand-held tools'!$F$16</definedName>
    <definedName name="handeffectDEO3">#REF!</definedName>
    <definedName name="handeffectDEO4">#REF!</definedName>
    <definedName name="handeffectDEO5">#REF!</definedName>
    <definedName name="Immersion_bodyeffect">'paranew'!$S$28</definedName>
    <definedName name="Immersion_contactfrequency1">'paranew'!$S$39</definedName>
    <definedName name="Immersion_contactfrequency2">'paranew'!$S$40</definedName>
    <definedName name="Immersion_contactfrequency3">'paranew'!$S$41</definedName>
    <definedName name="Immersion_cumulativeduration">'Immersion'!$C$16</definedName>
    <definedName name="Immersion_digitmedianloadingbody">'Immersion'!$K$14</definedName>
    <definedName name="Immersion_digitmedianloadinghands">'Immersion'!$K$13</definedName>
    <definedName name="Immersion_digitmedianratebody">'Immersion'!$K$9</definedName>
    <definedName name="Immersion_digitmedianratehands">'Immersion'!$K$8</definedName>
    <definedName name="Immersion_digitpercentileloadingbody">'Immersion'!$K$16</definedName>
    <definedName name="Immersion_digitpercentileloadinghands">'Immersion'!$K$15</definedName>
    <definedName name="Immersion_digitpercentileratebody">'Immersion'!$K$11</definedName>
    <definedName name="Immersion_digitpercentileratehands">'Immersion'!$K$10</definedName>
    <definedName name="Immersion_directionairflow1">'paranew'!$S$22</definedName>
    <definedName name="Immersion_directionairflow2">'paranew'!$S$23</definedName>
    <definedName name="Immersion_directionairflow3">'paranew'!$S$24</definedName>
    <definedName name="Immersion_directionairflowa">'paranew'!$T$22</definedName>
    <definedName name="Immersion_directionairflowb">'paranew'!$T$23</definedName>
    <definedName name="Immersion_directionairflowc">'paranew'!$T$24</definedName>
    <definedName name="Immersion_GSD">'paranew'!$S$6</definedName>
    <definedName name="Immersion_GSDbody">'paranew'!$S$49</definedName>
    <definedName name="Immersion_GSDhands">'paranew'!$S$50</definedName>
    <definedName name="Immersion_handeffect">'paranew'!$S$30</definedName>
    <definedName name="Immersion_intercept">'paranew'!$S$4</definedName>
    <definedName name="Immersion_medianbodyloadingrounded">'Immersion'!$N$14</definedName>
    <definedName name="Immersion_medianbodyraterounded">'Immersion'!$N$9</definedName>
    <definedName name="Immersion_medianhandsloadingrounded">'Immersion'!$N$13</definedName>
    <definedName name="Immersion_medianhandsraterounded">'Immersion'!$N$8</definedName>
    <definedName name="Immersion_medianloadingbody">'Immersion'!$J$14</definedName>
    <definedName name="Immersion_medianloadinghands">'Immersion'!$J$13</definedName>
    <definedName name="Immersion_medianratebody">'Immersion'!$J$9</definedName>
    <definedName name="Immersion_medianratehands">'Immersion'!$J$8</definedName>
    <definedName name="Immersion_orientation1">'paranew'!$S$8</definedName>
    <definedName name="Immersion_orientation2">'paranew'!$S$9</definedName>
    <definedName name="Immersion_orientation3">'paranew'!$S$10</definedName>
    <definedName name="Immersion_orientationa">'paranew'!$T$8</definedName>
    <definedName name="Immersion_orientationb">'paranew'!$T$9</definedName>
    <definedName name="Immersion_orientationc">'paranew'!$T$10</definedName>
    <definedName name="Immersion_percentile">'Immersion'!$C$10</definedName>
    <definedName name="Immersion_percentilebodyloadingrounded">'Immersion'!$N$16</definedName>
    <definedName name="Immersion_percentilebodyraterounded">'Immersion'!$N$11</definedName>
    <definedName name="Immersion_percentilehandsloadingrounded">'Immersion'!$N$15</definedName>
    <definedName name="Immersion_percentilehandsraterounded">'Immersion'!$N$10</definedName>
    <definedName name="Immersion_percentileloadingbody">'Immersion'!$J$16</definedName>
    <definedName name="Immersion_percentileloadinghands">'Immersion'!$J$15</definedName>
    <definedName name="Immersion_percentileratebody">'Immersion'!$J$11</definedName>
    <definedName name="Immersion_percentileratehands">'Immersion'!$J$10</definedName>
    <definedName name="Immersion_physicalstate1">'paranew'!$S$36</definedName>
    <definedName name="Immersion_physicalstate2">'paranew'!$S$37</definedName>
    <definedName name="Immersion_physicalstate3">'paranew'!$S$38</definedName>
    <definedName name="Immersion_powerbody">'paranew'!$S$32</definedName>
    <definedName name="Immersion_powerhand">'paranew'!$S$34</definedName>
    <definedName name="Immersion_proximity">'Immersion'!$F$5</definedName>
    <definedName name="Immersion_proximity1">'paranew'!$S$11</definedName>
    <definedName name="Immersion_proximity2">'paranew'!$S$12</definedName>
    <definedName name="Immersion_proximity3">'paranew'!$S$13</definedName>
    <definedName name="Immersion_proximitya">'paranew'!$T$11</definedName>
    <definedName name="Immersion_proximityb">'paranew'!$T$12</definedName>
    <definedName name="Immersion_proximityc">'paranew'!$T$13</definedName>
    <definedName name="Immersion_unit1">'paranew'!$S$43</definedName>
    <definedName name="Immersion_unit2">'paranew'!$S$44</definedName>
    <definedName name="Immersion_unit21">'paranew'!$S$46</definedName>
    <definedName name="Immersion_unit22">'paranew'!$S$47</definedName>
    <definedName name="Immersion_ventilation">'Immersion'!$F$8</definedName>
    <definedName name="Immersion_ventilation1">'paranew'!$S$25</definedName>
    <definedName name="Immersion_ventilation2">'paranew'!$S$26</definedName>
    <definedName name="Immersion_ventilation3">'paranew'!$S$27</definedName>
    <definedName name="Immersion_ventilationa">'paranew'!$T$25</definedName>
    <definedName name="Immersion_ventilationb">'paranew'!$T$26</definedName>
    <definedName name="Immersion_ventilationc">'paranew'!$T$27</definedName>
    <definedName name="Immersion_viscosity1">'paranew'!$S$19</definedName>
    <definedName name="Immersion_viscosity2">'paranew'!$S$20</definedName>
    <definedName name="Immersion_viscosity3">'paranew'!$S$21</definedName>
    <definedName name="Immersion_viscositya">'paranew'!$T$19</definedName>
    <definedName name="Immersion_viscosityb">'paranew'!$T$20</definedName>
    <definedName name="Immersion_viscosityc">'paranew'!$T$21</definedName>
    <definedName name="Immersion_volatility1">'paranew'!$S$16</definedName>
    <definedName name="Immersion_volatility2">'paranew'!$S$17</definedName>
    <definedName name="Immersion_volatility3">'paranew'!$S$18</definedName>
    <definedName name="Immersion_volatilitya">'paranew'!$T$16</definedName>
    <definedName name="Immersion_volatilityb">'paranew'!$T$17</definedName>
    <definedName name="Immersion_volatilityc">'paranew'!$T$18</definedName>
    <definedName name="indooroutdoorDEO4">#REF!</definedName>
    <definedName name="interceptDEO1">#REF!</definedName>
    <definedName name="interceptDEO2">#REF!</definedName>
    <definedName name="interceptDEO3" localSheetId="7">'Dispersion hand-held tools'!$F$18</definedName>
    <definedName name="interceptDEO3">#REF!</definedName>
    <definedName name="interceptDEO4">#REF!</definedName>
    <definedName name="interceptDEO5">#REF!</definedName>
    <definedName name="interceptDEO6">#REF!</definedName>
    <definedName name="LEVDEO5">#REF!</definedName>
    <definedName name="lnapprate_fillmixload">'Fillmixload'!$F$23</definedName>
    <definedName name="loadmedbodyDEO1">#REF!</definedName>
    <definedName name="loadmedbodyDEO2">#REF!</definedName>
    <definedName name="loadmedbodyDEO3" localSheetId="7">'Dispersion hand-held tools'!$J$13</definedName>
    <definedName name="loadmedbodyDEO3">#REF!</definedName>
    <definedName name="loadmedbodyDEO4">#REF!</definedName>
    <definedName name="loadmedbodyDEO5">#REF!</definedName>
    <definedName name="loadmedbodyDEO6">#REF!</definedName>
    <definedName name="loadmedbodyroundDEO1">#REF!</definedName>
    <definedName name="loadmedbodyroundDEO2">#REF!</definedName>
    <definedName name="loadmedbodyroundDEO3" localSheetId="7">'Dispersion hand-held tools'!$N$13</definedName>
    <definedName name="loadmedbodyroundDEO3">#REF!</definedName>
    <definedName name="loadmedbodyroundDEO4">#REF!</definedName>
    <definedName name="loadmedbodyroundDEO5">#REF!</definedName>
    <definedName name="loadmedbodyroundDEO6">#REF!</definedName>
    <definedName name="loadmedhandDEO1">#REF!</definedName>
    <definedName name="loadmedhandDEO2">#REF!</definedName>
    <definedName name="loadmedhandDEO3" localSheetId="7">'Dispersion hand-held tools'!$J$11</definedName>
    <definedName name="loadmedhandDEO3">#REF!</definedName>
    <definedName name="loadmedhandDEO4">#REF!</definedName>
    <definedName name="loadmedhandDEO5">#REF!</definedName>
    <definedName name="loadmedhandDEO6">#REF!</definedName>
    <definedName name="loadmedhandroundDEO1">#REF!</definedName>
    <definedName name="loadmedhandroundDEO2">#REF!</definedName>
    <definedName name="loadmedhandroundDEO3" localSheetId="7">'Dispersion hand-held tools'!$N$11</definedName>
    <definedName name="loadmedhandroundDEO3">#REF!</definedName>
    <definedName name="loadmedhandroundDEO4">#REF!</definedName>
    <definedName name="loadmedhandroundDEO5">#REF!</definedName>
    <definedName name="loadmedhandroundDEO6">#REF!</definedName>
    <definedName name="loadperbodyDEO1">#REF!</definedName>
    <definedName name="loadperbodyDEO2">#REF!</definedName>
    <definedName name="loadperbodyDEO3" localSheetId="7">'Dispersion hand-held tools'!$J$15</definedName>
    <definedName name="loadperbodyDEO3">#REF!</definedName>
    <definedName name="loadperbodyDEO4">#REF!</definedName>
    <definedName name="loadperbodyDEO5">#REF!</definedName>
    <definedName name="loadperbodyDEO6">#REF!</definedName>
    <definedName name="loadperbodyroundDEO1">#REF!</definedName>
    <definedName name="loadperbodyroundDEO2">#REF!</definedName>
    <definedName name="loadperbodyroundDEO3" localSheetId="7">'Dispersion hand-held tools'!$N$15</definedName>
    <definedName name="loadperbodyroundDEO3">#REF!</definedName>
    <definedName name="loadperbodyroundDEO4">#REF!</definedName>
    <definedName name="loadperbodyroundDEO5">#REF!</definedName>
    <definedName name="loadperbodyroundDEO6">#REF!</definedName>
    <definedName name="loadperhandDEO1">#REF!</definedName>
    <definedName name="loadperhandDEO2">#REF!</definedName>
    <definedName name="loadperhandDEO3" localSheetId="7">'Dispersion hand-held tools'!$J$14</definedName>
    <definedName name="loadperhandDEO3">#REF!</definedName>
    <definedName name="loadperhandDEO4">#REF!</definedName>
    <definedName name="loadperhandDEO5">#REF!</definedName>
    <definedName name="loadperhandDEO6">#REF!</definedName>
    <definedName name="loadperhandroundDEO1">#REF!</definedName>
    <definedName name="loadperhandroundDEO2">#REF!</definedName>
    <definedName name="loadperhandroundDEO3" localSheetId="7">'Dispersion hand-held tools'!$N$14</definedName>
    <definedName name="loadperhandroundDEO3">#REF!</definedName>
    <definedName name="loadperhandroundDEO4">#REF!</definedName>
    <definedName name="loadperhandroundDEO5">#REF!</definedName>
    <definedName name="loadperhandroundDEO6">#REF!</definedName>
    <definedName name="Mechanical_treatement_intercept">'paranew'!$W$4</definedName>
    <definedName name="Mechanical_treatment_bodyeffect">'paranew'!$W$28</definedName>
    <definedName name="Mechanical_treatment_contactfrequency">'Mechanical_treatment'!$F$9</definedName>
    <definedName name="Mechanical_treatment_contactfrequency1">'paranew'!$W$39</definedName>
    <definedName name="Mechanical_treatment_contactfrequency2">'paranew'!$W$40</definedName>
    <definedName name="Mechanical_treatment_contactfrequency3">'paranew'!$W$41</definedName>
    <definedName name="Mechanical_treatment_contactfrequencya">'paranew'!$X$39</definedName>
    <definedName name="Mechanical_treatment_contactfrequencyb">'paranew'!$X$40</definedName>
    <definedName name="Mechanical_treatment_contactfrequencyc">'paranew'!$X$41</definedName>
    <definedName name="Mechanical_treatment_cumulativeduration">'Mechanical_treatment'!$C$17</definedName>
    <definedName name="Mechanical_treatment_digitmedianloadingbody">'Mechanical_treatment'!$M$12</definedName>
    <definedName name="Mechanical_treatment_digitmedianloadinghands">'Mechanical_treatment'!$M$11</definedName>
    <definedName name="Mechanical_treatment_digitmedianratebody">'Mechanical_treatment'!$M$8</definedName>
    <definedName name="Mechanical_treatment_digitmedianratehands">'Mechanical_treatment'!$M$7</definedName>
    <definedName name="Mechanical_treatment_digitpercentileloadingbody">'Mechanical_treatment'!$M$14</definedName>
    <definedName name="Mechanical_treatment_digitpercentileloadinghands">'Mechanical_treatment'!$M$13</definedName>
    <definedName name="Mechanical_treatment_digitpercentileratebody">'Mechanical_treatment'!$M$10</definedName>
    <definedName name="Mechanical_treatment_digitpercentileratehands">'Mechanical_treatment'!$M$9</definedName>
    <definedName name="Mechanical_treatment_directionairflow1">'paranew'!$W$22</definedName>
    <definedName name="Mechanical_treatment_directionairflow2">'paranew'!$W$23</definedName>
    <definedName name="Mechanical_treatment_directionairflow3">'paranew'!$W$24</definedName>
    <definedName name="Mechanical_treatment_directionairflowa">'paranew'!$X$22</definedName>
    <definedName name="Mechanical_treatment_directionairflowb">'paranew'!$X$23</definedName>
    <definedName name="Mechanical_treatment_directionairflowc">'paranew'!$X$24</definedName>
    <definedName name="Mechanical_treatment_GSD">'paranew'!$W$6</definedName>
    <definedName name="Mechanical_treatment_handeffect">'paranew'!$W$30</definedName>
    <definedName name="Mechanical_treatment_medianbodyloadingrounded">'Mechanical_treatment'!$P$12</definedName>
    <definedName name="Mechanical_treatment_medianbodyraterounded">'Mechanical_treatment'!$P$8</definedName>
    <definedName name="Mechanical_treatment_medianhandsloadingrounded">'Mechanical_treatment'!$P$11</definedName>
    <definedName name="Mechanical_treatment_medianhandsraterounded">'Mechanical_treatment'!$P$7</definedName>
    <definedName name="Mechanical_treatment_medianloadingbody">'Mechanical_treatment'!$L$12</definedName>
    <definedName name="Mechanical_treatment_medianloadinghands">'Mechanical_treatment'!$L$11</definedName>
    <definedName name="Mechanical_treatment_medianratebody">'Mechanical_treatment'!$L$8</definedName>
    <definedName name="Mechanical_treatment_medianratehands">'Mechanical_treatment'!$L$7</definedName>
    <definedName name="Mechanical_treatment_orientation1">'paranew'!$W$8</definedName>
    <definedName name="Mechanical_treatment_orientation2">'paranew'!$W$9</definedName>
    <definedName name="Mechanical_treatment_orientation3">'paranew'!$W$10</definedName>
    <definedName name="Mechanical_treatment_orientationa">'paranew'!$X$8</definedName>
    <definedName name="Mechanical_treatment_orientationb">'paranew'!$X$9</definedName>
    <definedName name="Mechanical_treatment_orientationc">'paranew'!$X$10</definedName>
    <definedName name="Mechanical_treatment_percentile">'Mechanical_treatment'!$C$12</definedName>
    <definedName name="Mechanical_treatment_percentilebodyloadingrounded">'Mechanical_treatment'!$P$14</definedName>
    <definedName name="Mechanical_treatment_percentilebodyraterounded">'Mechanical_treatment'!$P$10</definedName>
    <definedName name="Mechanical_treatment_percentilehandsloadingrounded">'Mechanical_treatment'!$P$13</definedName>
    <definedName name="Mechanical_treatment_percentilehandsraterounded">'Mechanical_treatment'!$P$9</definedName>
    <definedName name="Mechanical_treatment_percentileloadingbody">'Mechanical_treatment'!$L$14</definedName>
    <definedName name="Mechanical_treatment_percentileloadinghands">'Mechanical_treatment'!$L$13</definedName>
    <definedName name="Mechanical_treatment_percentileratebody">'Mechanical_treatment'!$L$10</definedName>
    <definedName name="Mechanical_treatment_percentileratehands">'Mechanical_treatment'!$L$9</definedName>
    <definedName name="Mechanical_treatment_physicalstate">'Mechanical_treatment'!$F$5</definedName>
    <definedName name="Mechanical_treatment_physicalstate1">'paranew'!$W$36</definedName>
    <definedName name="Mechanical_treatment_physicalstate2">'paranew'!$W$37</definedName>
    <definedName name="Mechanical_treatment_physicalstate3">'paranew'!$W$38</definedName>
    <definedName name="Mechanical_treatment_physicalstatea">'paranew'!$X$36</definedName>
    <definedName name="Mechanical_treatment_physicalstateb">'paranew'!$X$37</definedName>
    <definedName name="Mechanical_treatment_physicalstatec">'paranew'!$X$38</definedName>
    <definedName name="Mechanical_treatment_powerbody">'paranew'!$W$32</definedName>
    <definedName name="Mechanical_treatment_powerhand">'paranew'!$W$34</definedName>
    <definedName name="Mechanical_treatment_proximity">'Mechanical_treatment'!$F$7</definedName>
    <definedName name="Mechanical_treatment_proximity1">'paranew'!$W$11</definedName>
    <definedName name="Mechanical_treatment_proximity2">'paranew'!$W$12</definedName>
    <definedName name="Mechanical_treatment_proximity3">'paranew'!$W$13</definedName>
    <definedName name="Mechanical_treatment_proximitya">'paranew'!$X$11</definedName>
    <definedName name="Mechanical_treatment_proximityb">'paranew'!$X$12</definedName>
    <definedName name="Mechanical_treatment_proximityc">'paranew'!$X$13</definedName>
    <definedName name="Mechanical_treatment_unit1">'Mechanical_treatment'!$F$18</definedName>
    <definedName name="Mechanical_treatment_unit11">'paranew'!$W$43</definedName>
    <definedName name="Mechanical_treatment_unit12">'paranew'!$W$44</definedName>
    <definedName name="Mechanical_treatment_unit1a">'paranew'!$X$43</definedName>
    <definedName name="Mechanical_treatment_unit1b">'paranew'!$X$44</definedName>
    <definedName name="Mechanical_treatment_unit2">'Mechanical_treatment'!$F$21</definedName>
    <definedName name="Mechanical_treatment_unit21">'paranew'!$W$46</definedName>
    <definedName name="Mechanical_treatment_unit22">'paranew'!$W$47</definedName>
    <definedName name="Mechanical_treatment_unit2a">'paranew'!$X$46</definedName>
    <definedName name="Mechanical_treatment_unit2b">'paranew'!$X$47</definedName>
    <definedName name="Mechanical_treatment_ventilation1">'paranew'!$W$25</definedName>
    <definedName name="Mechanical_treatment_ventilation2">'paranew'!$W$26</definedName>
    <definedName name="Mechanical_treatment_ventilation3">'paranew'!$W$27</definedName>
    <definedName name="Mechanical_treatment_ventilationa">'paranew'!$X$25</definedName>
    <definedName name="Mechanical_treatment_ventilationb">'paranew'!$X$26</definedName>
    <definedName name="Mechanical_treatment_ventilationc">'paranew'!$X$27</definedName>
    <definedName name="Mechanical_treatment_viscosity1">'paranew'!$W$19</definedName>
    <definedName name="Mechanical_treatment_viscosity2">'paranew'!$W$20</definedName>
    <definedName name="Mechanical_treatment_viscosity3">'paranew'!$W$21</definedName>
    <definedName name="Mechanical_treatment_viscositya">'paranew'!$X$19</definedName>
    <definedName name="Mechanical_treatment_viscosityb">'paranew'!$X$20</definedName>
    <definedName name="Mechanical_treatment_viscosityc">'paranew'!$X$21</definedName>
    <definedName name="Mechanical_treatment_volatility1">'paranew'!$W$16</definedName>
    <definedName name="Mechanical_treatment_volatility2">'paranew'!$W$17</definedName>
    <definedName name="Mechanical_treatment_volatility3">'paranew'!$W$18</definedName>
    <definedName name="Mechanical_treatment_volatilitya">'paranew'!$X$16</definedName>
    <definedName name="Mechanical_treatment_volatilityb">'paranew'!$X$17</definedName>
    <definedName name="Mechanical_treatment_volatilityc">'paranew'!$X$18</definedName>
    <definedName name="Name_scenario">'Process'!$H$3</definedName>
    <definedName name="orientationDEO3" localSheetId="7">'Dispersion hand-held tools'!$F$5</definedName>
    <definedName name="orientationDEO3">#REF!</definedName>
    <definedName name="orientationDEO4">#REF!</definedName>
    <definedName name="percentileDEO1">#REF!</definedName>
    <definedName name="percentileDEO2">#REF!</definedName>
    <definedName name="percentileDEO3">#REF!</definedName>
    <definedName name="percentileDEO4">#REF!</definedName>
    <definedName name="percentileDEO5">#REF!</definedName>
    <definedName name="percentileDEO6">#REF!</definedName>
    <definedName name="physstateDEO1">#REF!</definedName>
    <definedName name="physstateDEO6">#REF!</definedName>
    <definedName name="powerbodyDEO2">#REF!</definedName>
    <definedName name="powerbodyDEO3" localSheetId="7">'Dispersion hand-held tools'!$F$11</definedName>
    <definedName name="powerbodyDEO3">#REF!</definedName>
    <definedName name="powerbodyDEO4">#REF!</definedName>
    <definedName name="powerhandDEO2">#REF!</definedName>
    <definedName name="powerhandDEO3" localSheetId="7">'Dispersion hand-held tools'!$F$10</definedName>
    <definedName name="powerhandDEO3">#REF!</definedName>
    <definedName name="powerhandDEO4">#REF!</definedName>
    <definedName name="_xlnm.Print_Area" localSheetId="7">'Dispersion hand-held tools'!$A$1:$E$33</definedName>
    <definedName name="_xlnm.Print_Area" localSheetId="18">'Explanation'!$A$1:$L$31</definedName>
    <definedName name="_xlnm.Print_Area" localSheetId="9">'Spraying'!$A$1:$E$42</definedName>
    <definedName name="_xlnm.Print_Area" localSheetId="0">'Start'!$A$1:$L$38</definedName>
    <definedName name="proximityDEO4">#REF!</definedName>
    <definedName name="proximityDEO5">#REF!</definedName>
    <definedName name="proximityDEO6">#REF!</definedName>
    <definedName name="ratemedbodyDEO1">#REF!</definedName>
    <definedName name="ratemedbodyDEO2">#REF!</definedName>
    <definedName name="ratemedbodyDEO3" localSheetId="7">'Dispersion hand-held tools'!$J$8</definedName>
    <definedName name="ratemedbodyDEO3">#REF!</definedName>
    <definedName name="ratemedbodyDEO4">#REF!</definedName>
    <definedName name="ratemedbodyDEO5">#REF!</definedName>
    <definedName name="ratemedbodyDEO6">#REF!</definedName>
    <definedName name="ratemedbodyroundDEO1">#REF!</definedName>
    <definedName name="ratemedbodyroundDEO2">#REF!</definedName>
    <definedName name="ratemedbodyroundDEO3" localSheetId="7">'Dispersion hand-held tools'!$N$8</definedName>
    <definedName name="ratemedbodyroundDEO3">#REF!</definedName>
    <definedName name="ratemedbodyroundDEO4">#REF!</definedName>
    <definedName name="ratemedbodyroundDEO5">#REF!</definedName>
    <definedName name="ratemedbodyroundDEO6">#REF!</definedName>
    <definedName name="ratemedhandDEO1">#REF!</definedName>
    <definedName name="ratemedhandDEO2">#REF!</definedName>
    <definedName name="ratemedhandDEO3" localSheetId="7">'Dispersion hand-held tools'!$J$7</definedName>
    <definedName name="ratemedhandDEO3">#REF!</definedName>
    <definedName name="ratemedhandDEO4">#REF!</definedName>
    <definedName name="ratemedhandDEO5">#REF!</definedName>
    <definedName name="ratemedhandDEO6">#REF!</definedName>
    <definedName name="ratemedhandroundDEO1">#REF!</definedName>
    <definedName name="ratemedhandroundDEO2">#REF!</definedName>
    <definedName name="ratemedhandroundDEO3" localSheetId="7">'Dispersion hand-held tools'!$N$7</definedName>
    <definedName name="ratemedhandroundDEO3">#REF!</definedName>
    <definedName name="ratemedhandroundDEO4">#REF!</definedName>
    <definedName name="ratemedhandroundDEO5">#REF!</definedName>
    <definedName name="ratemedhandroundDEO6">#REF!</definedName>
    <definedName name="rateperbodyDEO1">#REF!</definedName>
    <definedName name="rateperbodyDEO2">#REF!</definedName>
    <definedName name="rateperbodyDEO3" localSheetId="7">'Dispersion hand-held tools'!$J$10</definedName>
    <definedName name="rateperbodyDEO3">#REF!</definedName>
    <definedName name="rateperbodyDEO4">#REF!</definedName>
    <definedName name="rateperbodyDEO5">#REF!</definedName>
    <definedName name="rateperbodyDEO6">#REF!</definedName>
    <definedName name="rateperbodyroundDEO1">#REF!</definedName>
    <definedName name="rateperbodyroundDEO2">#REF!</definedName>
    <definedName name="rateperbodyroundDEO3" localSheetId="7">'Dispersion hand-held tools'!$N$10</definedName>
    <definedName name="rateperbodyroundDEO3">#REF!</definedName>
    <definedName name="rateperbodyroundDEO4">#REF!</definedName>
    <definedName name="rateperbodyroundDEO5">#REF!</definedName>
    <definedName name="rateperbodyroundDEO6">#REF!</definedName>
    <definedName name="rateperhandDEO1">#REF!</definedName>
    <definedName name="rateperhandDEO2">#REF!</definedName>
    <definedName name="rateperhandDEO3" localSheetId="7">'Dispersion hand-held tools'!$J$9</definedName>
    <definedName name="rateperhandDEO3">#REF!</definedName>
    <definedName name="rateperhandDEO4">#REF!</definedName>
    <definedName name="rateperhandDEO5">#REF!</definedName>
    <definedName name="rateperhandDEO6">#REF!</definedName>
    <definedName name="rateperhandroundDEO1">#REF!</definedName>
    <definedName name="rateperhandroundDEO2">#REF!</definedName>
    <definedName name="rateperhandroundDEO3" localSheetId="7">'Dispersion hand-held tools'!$N$9</definedName>
    <definedName name="rateperhandroundDEO3">#REF!</definedName>
    <definedName name="rateperhandroundDEO4">#REF!</definedName>
    <definedName name="rateperhandroundDEO5">#REF!</definedName>
    <definedName name="rateperhandroundDEO6">#REF!</definedName>
    <definedName name="RiskAutoStopPercChange">1.5</definedName>
    <definedName name="RiskCollectDistributionSamples">2</definedName>
    <definedName name="RiskExcelReportsGoInNewWorkbook">TRUE</definedName>
    <definedName name="RiskExcelReportsToGenerate">6144</definedName>
    <definedName name="RiskFixedSeed">1</definedName>
    <definedName name="RiskGenerateExcelReportsAtEndOfSimulation">FALSE</definedName>
    <definedName name="RiskHasSettings">TRUE</definedName>
    <definedName name="RiskMinimizeOnStart">FALSE</definedName>
    <definedName name="RiskMonitorConvergence">TRUE</definedName>
    <definedName name="RiskNumIterations">10000</definedName>
    <definedName name="RiskNumSimulations">1</definedName>
    <definedName name="RiskPauseOnError">TRUE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cenario1_DEO1">#REF!</definedName>
    <definedName name="Scenario2_DEO1">#REF!</definedName>
    <definedName name="segregationDEO4">#REF!</definedName>
    <definedName name="Spraying_applicationrate">'Spraying'!$C$20</definedName>
    <definedName name="Spraying_bodyeffect">'paranew'!$O$28</definedName>
    <definedName name="Spraying_contactfrequency1">'paranew'!$O$39</definedName>
    <definedName name="Spraying_contactfrequency2">'paranew'!$O$40</definedName>
    <definedName name="Spraying_contactfrequency3">'paranew'!$O$41</definedName>
    <definedName name="Spraying_contactfrequencya">'paranew'!$P$39</definedName>
    <definedName name="Spraying_contactfrequencyb">'paranew'!$P$40</definedName>
    <definedName name="Spraying_contactfrequencyc">'paranew'!$P$41</definedName>
    <definedName name="Spraying_cumulativeduration">'Spraying'!$C$29</definedName>
    <definedName name="Spraying_digitmedianloadingbody">'Spraying'!$M$13</definedName>
    <definedName name="Spraying_digitmedianloadinghands">'Spraying'!$M$12</definedName>
    <definedName name="Spraying_digitmedianratebody">'Spraying'!$M$8</definedName>
    <definedName name="Spraying_digitmedianratehands">'Spraying'!$M$7</definedName>
    <definedName name="Spraying_digitpercentileloadingbody">'Spraying'!$M$15</definedName>
    <definedName name="Spraying_digitpercentileloadinghands">'Spraying'!$M$14</definedName>
    <definedName name="Spraying_digitpercentileratebody">'Spraying'!$M$10</definedName>
    <definedName name="Spraying_digitpercentileratehands">'Spraying'!$M$9</definedName>
    <definedName name="Spraying_directionairflow">'Spraying'!$F$10</definedName>
    <definedName name="Spraying_directionairflow1">'paranew'!$O$22</definedName>
    <definedName name="Spraying_directionairflow2">'paranew'!$O$23</definedName>
    <definedName name="Spraying_directionairflow3">'paranew'!$O$24</definedName>
    <definedName name="Spraying_directionairflowa">'paranew'!$P$22</definedName>
    <definedName name="Spraying_directionairflowb">'paranew'!$P$23</definedName>
    <definedName name="Spraying_directionairflowc">'paranew'!$P$24</definedName>
    <definedName name="Spraying_GSD">'paranew'!$O$6</definedName>
    <definedName name="Spraying_handeffect">'paranew'!$O$30</definedName>
    <definedName name="Spraying_indoors">'Spraying'!$F$5</definedName>
    <definedName name="Spraying_indoors1">'paranew'!$O$49</definedName>
    <definedName name="Spraying_indoors2">'paranew'!$O$50</definedName>
    <definedName name="Spraying_indoorsa">'paranew'!$P$49</definedName>
    <definedName name="Spraying_indoorsb">'paranew'!$P$50</definedName>
    <definedName name="Spraying_intercept">'paranew'!$O$4</definedName>
    <definedName name="Spraying_medianbodyloadingrounded">'Spraying'!$P$13</definedName>
    <definedName name="Spraying_medianbodyraterounded">'Spraying'!$P$8</definedName>
    <definedName name="Spraying_medianhandsloadingrounded">'Spraying'!$P$12</definedName>
    <definedName name="Spraying_medianhandsraterounded">'Spraying'!$P$7</definedName>
    <definedName name="Spraying_medianloadingbody">'Spraying'!$L$13</definedName>
    <definedName name="Spraying_medianloadinghands">'Spraying'!$L$12</definedName>
    <definedName name="Spraying_medianratebody">'Spraying'!$L$8</definedName>
    <definedName name="Spraying_medianratehands">'Spraying'!$L$7</definedName>
    <definedName name="Spraying_orientation">'Spraying'!$F$7</definedName>
    <definedName name="Spraying_orientation1">'paranew'!$O$8</definedName>
    <definedName name="Spraying_orientation2">'paranew'!$O$9</definedName>
    <definedName name="Spraying_orientation3">'paranew'!$O$10</definedName>
    <definedName name="Spraying_orientationa">'paranew'!$P$8</definedName>
    <definedName name="Spraying_orientationb">'paranew'!$P$9</definedName>
    <definedName name="Spraying_orientationc">'paranew'!$P$10</definedName>
    <definedName name="Spraying_percentile">'Spraying'!$C$23</definedName>
    <definedName name="Spraying_percentilebodyloadingrounded">'Spraying'!$P$15</definedName>
    <definedName name="Spraying_percentilebodyraterounded">'Spraying'!$P$10</definedName>
    <definedName name="Spraying_percentilehandsloadingrounded">'Spraying'!$P$14</definedName>
    <definedName name="Spraying_percentilehandsraterounded">'Spraying'!$P$9</definedName>
    <definedName name="Spraying_percentileloadingbody">'Spraying'!$L$15</definedName>
    <definedName name="Spraying_percentileloadinghands">'Spraying'!$L$14</definedName>
    <definedName name="Spraying_percentileratebody">'Spraying'!$L$10</definedName>
    <definedName name="Spraying_percentileratehands">'Spraying'!$L$9</definedName>
    <definedName name="Spraying_physicalstate1">'paranew'!$O$36</definedName>
    <definedName name="Spraying_physicalstate2">'paranew'!$O$37</definedName>
    <definedName name="Spraying_physicalstate3">'paranew'!$O$38</definedName>
    <definedName name="Spraying_physicalstatea">'paranew'!$P$36</definedName>
    <definedName name="Spraying_physicalstateb">'paranew'!$P$37</definedName>
    <definedName name="Spraying_physicalstatec">'paranew'!$P$38</definedName>
    <definedName name="Spraying_powerbody">'paranew'!$O$32</definedName>
    <definedName name="Spraying_powerhand">'paranew'!$O$34</definedName>
    <definedName name="Spraying_proximity">'Spraying'!$F$14</definedName>
    <definedName name="Spraying_proximity1">'paranew'!$O$11</definedName>
    <definedName name="Spraying_proximity2">'paranew'!$O$12</definedName>
    <definedName name="Spraying_proximity3">'paranew'!$O$13</definedName>
    <definedName name="Spraying_proximitya">'paranew'!$P$11</definedName>
    <definedName name="Spraying_proximityb">'paranew'!$P$12</definedName>
    <definedName name="Spraying_proximityc">'paranew'!$P$13</definedName>
    <definedName name="Spraying_segregation">'Spraying'!$F$12</definedName>
    <definedName name="Spraying_segregation1">'paranew'!$O$52</definedName>
    <definedName name="Spraying_segregation2">'paranew'!$O$53</definedName>
    <definedName name="Spraying_segregationa">'paranew'!$P$52</definedName>
    <definedName name="Spraying_segregationb">'paranew'!$P$53</definedName>
    <definedName name="Spraying_unit">'Spraying'!$F$18</definedName>
    <definedName name="Spraying_unit1">'paranew'!$O$43</definedName>
    <definedName name="Spraying_unit2">'paranew'!$O$44</definedName>
    <definedName name="Spraying_unit21">'paranew'!$O$46</definedName>
    <definedName name="Spraying_unit22">'paranew'!$O$47</definedName>
    <definedName name="Spraying_unit2a">'paranew'!$P$46</definedName>
    <definedName name="Spraying_unit2b">'paranew'!$P$47</definedName>
    <definedName name="Spraying_unita">'paranew'!$P$43</definedName>
    <definedName name="Spraying_unitb">'paranew'!$P$44</definedName>
    <definedName name="Spraying_ventilation1">'paranew'!$O$25</definedName>
    <definedName name="Spraying_ventilation2">'paranew'!$O$26</definedName>
    <definedName name="Spraying_ventilation3">'paranew'!$O$27</definedName>
    <definedName name="Spraying_ventilationa">'paranew'!$P$25</definedName>
    <definedName name="Spraying_ventilationb">'paranew'!$P$26</definedName>
    <definedName name="Spraying_ventilationc">'paranew'!$P$27</definedName>
    <definedName name="Spraying_viscosity1">'paranew'!$O$19</definedName>
    <definedName name="Spraying_viscosity2">'paranew'!$O$20</definedName>
    <definedName name="Spraying_viscosity3">'paranew'!$O$21</definedName>
    <definedName name="Spraying_viscositya">'paranew'!$P$19</definedName>
    <definedName name="Spraying_viscosityb">'paranew'!$P$20</definedName>
    <definedName name="Spraying_viscosityc">'paranew'!$P$21</definedName>
    <definedName name="Spraying_volatility">'Spraying'!$F$16</definedName>
    <definedName name="Spraying_volatility1">'paranew'!$O$16</definedName>
    <definedName name="Spraying_volatility2">'paranew'!$O$17</definedName>
    <definedName name="Spraying_volatility3">'paranew'!$O$18</definedName>
    <definedName name="Spraying_volatilitya">'paranew'!$P$16</definedName>
    <definedName name="Spraying_volatilityb">'paranew'!$P$17</definedName>
    <definedName name="Spraying_volatilityc">'paranew'!$P$18</definedName>
    <definedName name="toolsDEO3" localSheetId="7">'Dispersion hand-held tools'!$F$13</definedName>
    <definedName name="toolsDEO3">#REF!</definedName>
    <definedName name="unit2DEO4">#REF!</definedName>
    <definedName name="unit2DEO6">#REF!</definedName>
    <definedName name="unitDEO4">#REF!</definedName>
    <definedName name="unitDEO6">#REF!</definedName>
    <definedName name="ventilationDEO1">#REF!</definedName>
    <definedName name="viscosityDEO3" localSheetId="7">'Dispersion hand-held tools'!$F$7</definedName>
    <definedName name="viscosityDEO3">#REF!</definedName>
    <definedName name="volatilityDEO4">#REF!</definedName>
    <definedName name="Wiping_applicationrate" localSheetId="6">'Wiping (prob)'!#REF!</definedName>
    <definedName name="Wiping_applicationrate">'Wiping'!$C$8</definedName>
    <definedName name="Wiping_applicationrateprobability">'Wiping (prob)'!$F$8</definedName>
    <definedName name="Wiping_bodyeffect">'paranew'!$G$28</definedName>
    <definedName name="Wiping_cumulativeduration" localSheetId="6">'Wiping (prob)'!$C$23</definedName>
    <definedName name="Wiping_cumulativeduration">'Wiping'!$C$17</definedName>
    <definedName name="Wiping_digitmedianloadingbody" localSheetId="6">'Wiping (prob)'!$L$11</definedName>
    <definedName name="Wiping_digitmedianloadingbody">'Wiping'!$L$11</definedName>
    <definedName name="Wiping_digitmedianloadinghands" localSheetId="6">'Wiping (prob)'!$L$10</definedName>
    <definedName name="Wiping_digitmedianloadinghands">'Wiping'!$L$10</definedName>
    <definedName name="Wiping_digitmedianratebody" localSheetId="6">'Wiping (prob)'!$L$6</definedName>
    <definedName name="Wiping_digitmedianratebody">'Wiping'!$L$6</definedName>
    <definedName name="Wiping_digitmedianratehands" localSheetId="6">'Wiping (prob)'!$L$5</definedName>
    <definedName name="Wiping_digitmedianratehands">'Wiping'!$L$5</definedName>
    <definedName name="Wiping_digitpercentileloadingbody" localSheetId="6">'Wiping (prob)'!$L$13</definedName>
    <definedName name="Wiping_digitpercentileloadingbody">'Wiping'!$L$13</definedName>
    <definedName name="Wiping_digitpercentileloadinghands" localSheetId="6">'Wiping (prob)'!$L$12</definedName>
    <definedName name="Wiping_digitpercentileloadinghands">'Wiping'!$L$12</definedName>
    <definedName name="Wiping_digitpercentileratebody" localSheetId="6">'Wiping (prob)'!$L$8</definedName>
    <definedName name="Wiping_digitpercentileratebody">'Wiping'!$L$8</definedName>
    <definedName name="Wiping_digitpercentileratehands" localSheetId="6">'Wiping (prob)'!$L$7</definedName>
    <definedName name="Wiping_digitpercentileratehands">'Wiping'!$L$7</definedName>
    <definedName name="Wiping_durationprobability">'Wiping (prob)'!$F$18</definedName>
    <definedName name="Wiping_extensivebodycontact" localSheetId="6">'Wiping (prob)'!$F$5</definedName>
    <definedName name="Wiping_extensivebodycontact">'Wiping'!$F$5</definedName>
    <definedName name="Wiping_extensivebodycontact1">'paranew'!$G$30</definedName>
    <definedName name="Wiping_extensivebodycontact2">'paranew'!$G$31</definedName>
    <definedName name="Wiping_extensivebodycontacta">'paranew'!$H$30</definedName>
    <definedName name="Wiping_extensivebodycontactb">'paranew'!$H$31</definedName>
    <definedName name="Wiping_GSDbody">'paranew'!$G$7</definedName>
    <definedName name="Wiping_GSDhands">'paranew'!$G$6</definedName>
    <definedName name="Wiping_handseffect">'paranew'!$G$29</definedName>
    <definedName name="Wiping_intercept">'paranew'!$G$4</definedName>
    <definedName name="Wiping_lnapplicationrate" localSheetId="15">'paranew'!$G$14</definedName>
    <definedName name="Wiping_medianbodyloadingrounded" localSheetId="6">'Wiping (prob)'!$O$11</definedName>
    <definedName name="Wiping_medianbodyloadingrounded">'Wiping'!$O$11</definedName>
    <definedName name="Wiping_medianbodyraterounded" localSheetId="6">'Wiping (prob)'!$O$6</definedName>
    <definedName name="Wiping_medianbodyraterounded">'Wiping'!$O$6</definedName>
    <definedName name="Wiping_medianhandsloadingrounded" localSheetId="6">'Wiping (prob)'!$O$10</definedName>
    <definedName name="Wiping_medianhandsloadingrounded">'Wiping'!$O$10</definedName>
    <definedName name="Wiping_medianhandsraterounded" localSheetId="6">'Wiping (prob)'!$O$5</definedName>
    <definedName name="Wiping_medianhandsraterounded">'Wiping'!$O$5</definedName>
    <definedName name="Wiping_medianloadingbody" localSheetId="6">'Wiping (prob)'!$K$11</definedName>
    <definedName name="Wiping_medianloadingbody">'Wiping'!$K$11</definedName>
    <definedName name="Wiping_medianloadinghands" localSheetId="6">'Wiping (prob)'!$K$10</definedName>
    <definedName name="Wiping_medianloadinghands">'Wiping'!$K$10</definedName>
    <definedName name="Wiping_medianratebody" localSheetId="6">'Wiping (prob)'!$K$6</definedName>
    <definedName name="Wiping_medianratebody">'Wiping'!$K$6</definedName>
    <definedName name="Wiping_medianratehands" localSheetId="6">'Wiping (prob)'!$K$5</definedName>
    <definedName name="Wiping_medianratehands">'Wiping'!$K$5</definedName>
    <definedName name="Wiping_percentile" localSheetId="6">'Wiping (prob)'!$C$12</definedName>
    <definedName name="Wiping_percentile">'Wiping'!$C$11</definedName>
    <definedName name="Wiping_percentilebodyloadingrounded" localSheetId="6">'Wiping (prob)'!$O$13</definedName>
    <definedName name="Wiping_percentilebodyloadingrounded">'Wiping'!$O$13</definedName>
    <definedName name="Wiping_percentilebodyraterounded" localSheetId="6">'Wiping (prob)'!$O$8</definedName>
    <definedName name="Wiping_percentilebodyraterounded">'Wiping'!$O$8</definedName>
    <definedName name="Wiping_percentilehandsloadingrounded" localSheetId="6">'Wiping (prob)'!$O$12</definedName>
    <definedName name="Wiping_percentilehandsloadingrounded">'Wiping'!$O$12</definedName>
    <definedName name="Wiping_percentilehandsraterounded" localSheetId="6">'Wiping (prob)'!$O$7</definedName>
    <definedName name="Wiping_percentilehandsraterounded">'Wiping'!$O$7</definedName>
    <definedName name="Wiping_percentileloadingbody" localSheetId="6">'Wiping (prob)'!$K$13</definedName>
    <definedName name="Wiping_percentileloadingbody">'Wiping'!$K$13</definedName>
    <definedName name="Wiping_percentileloadinghands" localSheetId="6">'Wiping (prob)'!$K$12</definedName>
    <definedName name="Wiping_percentileloadinghands">'Wiping'!$K$12</definedName>
    <definedName name="Wiping_percentileratebody" localSheetId="6">'Wiping (prob)'!$K$8</definedName>
    <definedName name="Wiping_percentileratebody">'Wiping'!$K$8</definedName>
    <definedName name="Wiping_percentileratehands" localSheetId="6">'Wiping (prob)'!$K$7</definedName>
    <definedName name="Wiping_percentileratehands">'Wiping'!$K$7</definedName>
    <definedName name="Wiping_sigma_bw">'paranew'!$G$55</definedName>
    <definedName name="Wiping_sigma_ww_body">'paranew'!$G$56</definedName>
    <definedName name="Wiping_sigma_ww_hands">'paranew'!$G$57</definedName>
    <definedName name="Wiping_warningapplicationrate">'Wiping (prob)'!$K$22</definedName>
  </definedNames>
  <calcPr fullCalcOnLoad="1"/>
</workbook>
</file>

<file path=xl/comments10.xml><?xml version="1.0" encoding="utf-8"?>
<comments xmlns="http://schemas.openxmlformats.org/spreadsheetml/2006/main">
  <authors>
    <author>NL</author>
    <author>marquartj</author>
  </authors>
  <commentList>
    <comment ref="B16" authorId="0">
      <text>
        <r>
          <rPr>
            <b/>
            <sz val="8"/>
            <rFont val="Tahoma"/>
            <family val="2"/>
          </rPr>
          <t>highly volatile</t>
        </r>
        <r>
          <rPr>
            <sz val="8"/>
            <rFont val="Tahoma"/>
            <family val="2"/>
          </rPr>
          <t xml:space="preserve"> = like volatile organic solvents
</t>
        </r>
        <r>
          <rPr>
            <b/>
            <sz val="8"/>
            <rFont val="Tahoma"/>
            <family val="2"/>
          </rPr>
          <t>not highly volatile</t>
        </r>
        <r>
          <rPr>
            <sz val="8"/>
            <rFont val="Tahoma"/>
            <family val="2"/>
          </rPr>
          <t xml:space="preserve"> = like water or less volatile</t>
        </r>
      </text>
    </comment>
    <comment ref="B5" authorId="0">
      <text>
        <r>
          <rPr>
            <b/>
            <sz val="8"/>
            <rFont val="Tahoma"/>
            <family val="2"/>
          </rPr>
          <t>Indoors</t>
        </r>
        <r>
          <rPr>
            <sz val="8"/>
            <rFont val="Tahoma"/>
            <family val="2"/>
          </rPr>
          <t xml:space="preserve"> is also a reasonable option in any situation where the effect of the wind in the dispersion of the emitted contamination is small.  This can also be reasonable in outdoor situations that are somehow protected from the wind and covered, or in some tunnels.</t>
        </r>
      </text>
    </comment>
    <comment ref="B7" authorId="0">
      <text>
        <r>
          <rPr>
            <sz val="8"/>
            <rFont val="Tahoma"/>
            <family val="2"/>
          </rPr>
          <t xml:space="preserve">A clear example of </t>
        </r>
        <r>
          <rPr>
            <b/>
            <sz val="8"/>
            <rFont val="Tahoma"/>
            <family val="2"/>
          </rPr>
          <t>overhead</t>
        </r>
        <r>
          <rPr>
            <sz val="8"/>
            <rFont val="Tahoma"/>
            <family val="2"/>
          </rPr>
          <t xml:space="preserve"> spraying is spray application of a cleaning liquid on the ceiling.
An example of </t>
        </r>
        <r>
          <rPr>
            <b/>
            <sz val="8"/>
            <rFont val="Tahoma"/>
            <family val="2"/>
          </rPr>
          <t>level</t>
        </r>
        <r>
          <rPr>
            <sz val="8"/>
            <rFont val="Tahoma"/>
            <family val="2"/>
          </rPr>
          <t xml:space="preserve"> spraying is painting of ships
An example of </t>
        </r>
        <r>
          <rPr>
            <b/>
            <sz val="8"/>
            <rFont val="Tahoma"/>
            <family val="2"/>
          </rPr>
          <t>downward</t>
        </r>
        <r>
          <rPr>
            <sz val="8"/>
            <rFont val="Tahoma"/>
            <family val="2"/>
          </rPr>
          <t xml:space="preserve"> spraying is spray application of material for flooring</t>
        </r>
      </text>
    </comment>
    <comment ref="B10" authorId="0">
      <text>
        <r>
          <rPr>
            <sz val="8"/>
            <rFont val="Tahoma"/>
            <family val="2"/>
          </rPr>
          <t xml:space="preserve">Effective LEV that is well positioned moves the airflow </t>
        </r>
        <r>
          <rPr>
            <b/>
            <sz val="8"/>
            <rFont val="Tahoma"/>
            <family val="2"/>
          </rPr>
          <t>away from the worker</t>
        </r>
        <r>
          <rPr>
            <sz val="8"/>
            <rFont val="Tahoma"/>
            <family val="2"/>
          </rPr>
          <t xml:space="preserve">.  Properly functioning downdraft spray booths are an example.
Situations without forced ventilation flows (e.g. proper LEV or push-pull ventilation systems) generally lead to airflow that is </t>
        </r>
        <r>
          <rPr>
            <b/>
            <sz val="8"/>
            <rFont val="Tahoma"/>
            <family val="2"/>
          </rPr>
          <t>not clearly away from the worker</t>
        </r>
        <r>
          <rPr>
            <sz val="8"/>
            <rFont val="Tahoma"/>
            <family val="2"/>
          </rPr>
          <t>.</t>
        </r>
      </text>
    </comment>
    <comment ref="B12" authorId="0">
      <text>
        <r>
          <rPr>
            <sz val="8"/>
            <rFont val="Tahoma"/>
            <family val="2"/>
          </rPr>
          <t xml:space="preserve">An example of </t>
        </r>
        <r>
          <rPr>
            <b/>
            <sz val="8"/>
            <rFont val="Tahoma"/>
            <family val="2"/>
          </rPr>
          <t>segregation</t>
        </r>
        <r>
          <rPr>
            <sz val="8"/>
            <rFont val="Tahoma"/>
            <family val="2"/>
          </rPr>
          <t xml:space="preserve"> is a situation where a worker is in a cabin and spraying is done from a distance and outside of the cabin.  Another example is manual handling of spraying equipment installed behind a screen or in a booth.
Most spray situations will have </t>
        </r>
        <r>
          <rPr>
            <b/>
            <sz val="8"/>
            <rFont val="Tahoma"/>
            <family val="2"/>
          </rPr>
          <t>no segregation</t>
        </r>
        <r>
          <rPr>
            <sz val="8"/>
            <rFont val="Tahoma"/>
            <family val="2"/>
          </rPr>
          <t>.</t>
        </r>
      </text>
    </comment>
    <comment ref="A41" authorId="1">
      <text>
        <r>
          <rPr>
            <sz val="8"/>
            <rFont val="Tahoma"/>
            <family val="2"/>
          </rPr>
          <t xml:space="preserve">A combination of high application rate and long duration occurred only very rarely in the measured data for liquids. Therefore, the validity of the model for this combination is uncertain
</t>
        </r>
      </text>
    </comment>
  </commentList>
</comments>
</file>

<file path=xl/comments12.xml><?xml version="1.0" encoding="utf-8"?>
<comments xmlns="http://schemas.openxmlformats.org/spreadsheetml/2006/main">
  <authors>
    <author>NL</author>
  </authors>
  <commentList>
    <comment ref="B5" authorId="0">
      <text>
        <r>
          <rPr>
            <sz val="8"/>
            <rFont val="Tahoma"/>
            <family val="2"/>
          </rPr>
          <t xml:space="preserve">Generally, the distance is </t>
        </r>
        <r>
          <rPr>
            <b/>
            <sz val="8"/>
            <rFont val="Tahoma"/>
            <family val="2"/>
          </rPr>
          <t>&lt; 30 cm</t>
        </r>
        <r>
          <rPr>
            <sz val="8"/>
            <rFont val="Tahoma"/>
            <family val="2"/>
          </rPr>
          <t xml:space="preserve"> in the case of </t>
        </r>
        <r>
          <rPr>
            <b/>
            <sz val="8"/>
            <rFont val="Tahoma"/>
            <family val="2"/>
          </rPr>
          <t>manual</t>
        </r>
        <r>
          <rPr>
            <sz val="8"/>
            <rFont val="Tahoma"/>
            <family val="2"/>
          </rPr>
          <t xml:space="preserve"> immersion.
In the case of </t>
        </r>
        <r>
          <rPr>
            <b/>
            <sz val="8"/>
            <rFont val="Tahoma"/>
            <family val="2"/>
          </rPr>
          <t>mechanical immersion</t>
        </r>
        <r>
          <rPr>
            <sz val="8"/>
            <rFont val="Tahoma"/>
            <family val="2"/>
          </rPr>
          <t xml:space="preserve"> (with a hoist) or even automated immersion, the distance is generally </t>
        </r>
        <r>
          <rPr>
            <b/>
            <sz val="8"/>
            <rFont val="Tahoma"/>
            <family val="2"/>
          </rPr>
          <t>larger than 30 cm.</t>
        </r>
      </text>
    </comment>
    <comment ref="B8" authorId="0">
      <text>
        <r>
          <rPr>
            <b/>
            <sz val="8"/>
            <rFont val="Tahoma"/>
            <family val="2"/>
          </rPr>
          <t>Adequate LEV</t>
        </r>
        <r>
          <rPr>
            <sz val="8"/>
            <rFont val="Tahoma"/>
            <family val="2"/>
          </rPr>
          <t xml:space="preserve"> moves the contamination emitted from the source away from the worker.
There is </t>
        </r>
        <r>
          <rPr>
            <b/>
            <sz val="8"/>
            <rFont val="Tahoma"/>
            <family val="2"/>
          </rPr>
          <t>no adequate LEV</t>
        </r>
        <r>
          <rPr>
            <sz val="8"/>
            <rFont val="Tahoma"/>
            <family val="2"/>
          </rPr>
          <t xml:space="preserve"> when it is highly possible that the requirements of the tasks lead the workers to position part of their body (e.g. the arms) between the source of emission of contamination and the inlet of the LEV.</t>
        </r>
      </text>
    </comment>
  </commentList>
</comments>
</file>

<file path=xl/comments14.xml><?xml version="1.0" encoding="utf-8"?>
<comments xmlns="http://schemas.openxmlformats.org/spreadsheetml/2006/main">
  <authors>
    <author>NL</author>
  </authors>
  <commentList>
    <comment ref="B5" authorId="0">
      <text>
        <r>
          <rPr>
            <sz val="8"/>
            <rFont val="Tahoma"/>
            <family val="2"/>
          </rPr>
          <t xml:space="preserve">If the assessed substance originates from the solid object (e.g. wood dust, metal dust), the physical state is </t>
        </r>
        <r>
          <rPr>
            <b/>
            <sz val="8"/>
            <rFont val="Tahoma"/>
            <family val="2"/>
          </rPr>
          <t>"solid".</t>
        </r>
        <r>
          <rPr>
            <sz val="8"/>
            <rFont val="Tahoma"/>
            <family val="2"/>
          </rPr>
          <t xml:space="preserve">
If the assessed substance is in liquid products used for e.g. cooling during treatment (e.g. metal working fluids), the physical state is </t>
        </r>
        <r>
          <rPr>
            <b/>
            <sz val="8"/>
            <rFont val="Tahoma"/>
            <family val="2"/>
          </rPr>
          <t>"liquid".</t>
        </r>
      </text>
    </comment>
    <comment ref="B9" authorId="0">
      <text>
        <r>
          <rPr>
            <sz val="8"/>
            <rFont val="Tahoma"/>
            <family val="2"/>
          </rPr>
          <t xml:space="preserve">An example of </t>
        </r>
        <r>
          <rPr>
            <b/>
            <sz val="8"/>
            <rFont val="Tahoma"/>
            <family val="2"/>
          </rPr>
          <t>frequent</t>
        </r>
        <r>
          <rPr>
            <sz val="8"/>
            <rFont val="Tahoma"/>
            <family val="2"/>
          </rPr>
          <t xml:space="preserve"> skin contact occurs if many different objects have to be handled within a scenario and several of these objects have contamination at the site of contact.
</t>
        </r>
        <r>
          <rPr>
            <b/>
            <sz val="8"/>
            <rFont val="Tahoma"/>
            <family val="2"/>
          </rPr>
          <t>Rare</t>
        </r>
        <r>
          <rPr>
            <sz val="8"/>
            <rFont val="Tahoma"/>
            <family val="2"/>
          </rPr>
          <t xml:space="preserve"> or irregular contact occurs if only a few objects with contamination at the site of contact have to be handled per scenario or if it is uncommon that the handled objects are contaminated.</t>
        </r>
      </text>
    </comment>
  </commentList>
</comments>
</file>

<file path=xl/comments19.xml><?xml version="1.0" encoding="utf-8"?>
<comments xmlns="http://schemas.openxmlformats.org/spreadsheetml/2006/main">
  <authors>
    <author>NL</author>
  </authors>
  <commentList>
    <comment ref="I19" authorId="0">
      <text>
        <r>
          <rPr>
            <b/>
            <sz val="8"/>
            <rFont val="Tahoma"/>
            <family val="2"/>
          </rPr>
          <t>This is a comment sign.</t>
        </r>
      </text>
    </comment>
  </commentList>
</comments>
</file>

<file path=xl/comments3.xml><?xml version="1.0" encoding="utf-8"?>
<comments xmlns="http://schemas.openxmlformats.org/spreadsheetml/2006/main">
  <authors>
    <author>NL</author>
    <author>Hans Marquart</author>
  </authors>
  <commentList>
    <comment ref="B5" authorId="0">
      <text>
        <r>
          <rPr>
            <b/>
            <sz val="8"/>
            <rFont val="Tahoma"/>
            <family val="2"/>
          </rPr>
          <t>Poor</t>
        </r>
        <r>
          <rPr>
            <sz val="8"/>
            <rFont val="Tahoma"/>
            <family val="2"/>
          </rPr>
          <t xml:space="preserve"> ventilation can also be: part of the worker is between the source of emitted product and the inlet of the ventilation.
</t>
        </r>
        <r>
          <rPr>
            <b/>
            <sz val="8"/>
            <rFont val="Tahoma"/>
            <family val="2"/>
          </rPr>
          <t>Normal or good</t>
        </r>
        <r>
          <rPr>
            <sz val="8"/>
            <rFont val="Tahoma"/>
            <family val="2"/>
          </rPr>
          <t xml:space="preserve"> ventilation leads to an airflow from the source away from the worker, e.g. by LEV or by properly working mechanical or natural room ventilation</t>
        </r>
      </text>
    </comment>
    <comment ref="B8" authorId="0">
      <text>
        <r>
          <rPr>
            <sz val="8"/>
            <rFont val="Tahoma"/>
            <family val="2"/>
          </rPr>
          <t xml:space="preserve">An example of </t>
        </r>
        <r>
          <rPr>
            <b/>
            <sz val="8"/>
            <rFont val="Tahoma"/>
            <family val="2"/>
          </rPr>
          <t>more than rare</t>
        </r>
        <r>
          <rPr>
            <sz val="8"/>
            <rFont val="Tahoma"/>
            <family val="2"/>
          </rPr>
          <t xml:space="preserve"> skin contact occurs if many different objects have to be handled within a scenario and several of these objects have contamination at the site of contact. An example of frequent skin contact is dumping powders from drums.
</t>
        </r>
        <r>
          <rPr>
            <b/>
            <sz val="8"/>
            <rFont val="Tahoma"/>
            <family val="2"/>
          </rPr>
          <t>Rare</t>
        </r>
        <r>
          <rPr>
            <sz val="8"/>
            <rFont val="Tahoma"/>
            <family val="2"/>
          </rPr>
          <t xml:space="preserve"> contact occurs if it is uncommon that the handled objects are contaminated.  An example is handling closed cans of paint at the end of a filling station.</t>
        </r>
      </text>
    </comment>
    <comment ref="B10" authorId="0">
      <text>
        <r>
          <rPr>
            <b/>
            <sz val="8"/>
            <rFont val="Tahoma"/>
            <family val="2"/>
          </rPr>
          <t xml:space="preserve">Light </t>
        </r>
        <r>
          <rPr>
            <sz val="8"/>
            <rFont val="Tahoma"/>
            <family val="2"/>
          </rPr>
          <t xml:space="preserve">contact is e.g. just transporting packaging (either open or closed) that is generally not heavily contaminated.
</t>
        </r>
        <r>
          <rPr>
            <b/>
            <sz val="8"/>
            <rFont val="Tahoma"/>
            <family val="2"/>
          </rPr>
          <t>More than light contact</t>
        </r>
        <r>
          <rPr>
            <sz val="8"/>
            <rFont val="Tahoma"/>
            <family val="2"/>
          </rPr>
          <t xml:space="preserve"> occurs e.g. when aerosol  falls onto the worker.
Another example is when the objects to be handled are clearly contaminated.
A third example is when the handling of an object containing liquids leads to spills falling onto the worker.</t>
        </r>
      </text>
    </comment>
    <comment ref="B12" authorId="1">
      <text>
        <r>
          <rPr>
            <i/>
            <sz val="8"/>
            <color indexed="10"/>
            <rFont val="Tahoma"/>
            <family val="2"/>
          </rPr>
          <t xml:space="preserve">This question refers to the </t>
        </r>
        <r>
          <rPr>
            <b/>
            <i/>
            <sz val="8"/>
            <color indexed="10"/>
            <rFont val="Tahoma"/>
            <family val="2"/>
          </rPr>
          <t>product</t>
        </r>
        <r>
          <rPr>
            <i/>
            <sz val="8"/>
            <color indexed="10"/>
            <rFont val="Tahoma"/>
            <family val="2"/>
          </rPr>
          <t xml:space="preserve">, not to the </t>
        </r>
        <r>
          <rPr>
            <b/>
            <i/>
            <sz val="8"/>
            <color indexed="10"/>
            <rFont val="Tahoma"/>
            <family val="2"/>
          </rPr>
          <t>task</t>
        </r>
        <r>
          <rPr>
            <i/>
            <sz val="8"/>
            <color indexed="10"/>
            <rFont val="Tahoma"/>
            <family val="2"/>
          </rPr>
          <t>!</t>
        </r>
        <r>
          <rPr>
            <sz val="8"/>
            <rFont val="Tahoma"/>
            <family val="2"/>
          </rPr>
          <t xml:space="preserve">
For pastes: choose </t>
        </r>
        <r>
          <rPr>
            <b/>
            <sz val="8"/>
            <rFont val="Tahoma"/>
            <family val="2"/>
          </rPr>
          <t>liquid.</t>
        </r>
        <r>
          <rPr>
            <sz val="8"/>
            <rFont val="Tahoma"/>
            <family val="2"/>
          </rPr>
          <t xml:space="preserve">
For granules and pellets and similar product types: choose "</t>
        </r>
        <r>
          <rPr>
            <b/>
            <sz val="8"/>
            <rFont val="Tahoma"/>
            <family val="2"/>
          </rPr>
          <t>low or moderately dusty</t>
        </r>
        <r>
          <rPr>
            <sz val="8"/>
            <rFont val="Tahoma"/>
            <family val="2"/>
          </rPr>
          <t xml:space="preserve">"; some types of powders are also moderately dusty.
Choose </t>
        </r>
        <r>
          <rPr>
            <b/>
            <sz val="8"/>
            <rFont val="Tahoma"/>
            <family val="2"/>
          </rPr>
          <t xml:space="preserve">"highly dusty" </t>
        </r>
        <r>
          <rPr>
            <sz val="8"/>
            <rFont val="Tahoma"/>
            <family val="2"/>
          </rPr>
          <t>if handling a powder clearly leads to a substantial emission of fine dust in the air.</t>
        </r>
      </text>
    </comment>
    <comment ref="B15" authorId="1">
      <text>
        <r>
          <rPr>
            <i/>
            <sz val="8"/>
            <color indexed="10"/>
            <rFont val="Tahoma"/>
            <family val="2"/>
          </rPr>
          <t xml:space="preserve">This question relates to the </t>
        </r>
        <r>
          <rPr>
            <b/>
            <i/>
            <sz val="8"/>
            <color indexed="10"/>
            <rFont val="Tahoma"/>
            <family val="2"/>
          </rPr>
          <t>task</t>
        </r>
        <r>
          <rPr>
            <i/>
            <sz val="8"/>
            <color indexed="10"/>
            <rFont val="Tahoma"/>
            <family val="2"/>
          </rPr>
          <t xml:space="preserve">, not to the </t>
        </r>
        <r>
          <rPr>
            <b/>
            <i/>
            <sz val="8"/>
            <color indexed="10"/>
            <rFont val="Tahoma"/>
            <family val="2"/>
          </rPr>
          <t>product.</t>
        </r>
        <r>
          <rPr>
            <sz val="8"/>
            <rFont val="Tahoma"/>
            <family val="2"/>
          </rPr>
          <t xml:space="preserve">
Examples of tasks leading to </t>
        </r>
        <r>
          <rPr>
            <b/>
            <u val="single"/>
            <sz val="8"/>
            <rFont val="Tahoma"/>
            <family val="2"/>
          </rPr>
          <t>no</t>
        </r>
        <r>
          <rPr>
            <b/>
            <sz val="8"/>
            <rFont val="Tahoma"/>
            <family val="2"/>
          </rPr>
          <t xml:space="preserve"> significant amounts of aerosols or splashes</t>
        </r>
        <r>
          <rPr>
            <sz val="8"/>
            <rFont val="Tahoma"/>
            <family val="2"/>
          </rPr>
          <t xml:space="preserve">:
-  careful pouring of viscous liquids
-  very careful weighing in which the product is slowly flowing from the scoop without interaction with the air and without dropping over several centimeters.
Examples of tasks </t>
        </r>
        <r>
          <rPr>
            <b/>
            <u val="single"/>
            <sz val="8"/>
            <rFont val="Tahoma"/>
            <family val="2"/>
          </rPr>
          <t>with</t>
        </r>
        <r>
          <rPr>
            <b/>
            <sz val="8"/>
            <rFont val="Tahoma"/>
            <family val="2"/>
          </rPr>
          <t xml:space="preserve"> significant amounts of aerosols or splashes</t>
        </r>
        <r>
          <rPr>
            <sz val="8"/>
            <rFont val="Tahoma"/>
            <family val="2"/>
          </rPr>
          <t>:
-  pouring liquids in which the liquids travel through the air and drop on a surface
-  dumping of powders from bags or drums
-  weighing and dumping of powders in which the powder travels through the air and drops on a surface</t>
        </r>
      </text>
    </comment>
    <comment ref="B17" authorId="1">
      <text>
        <r>
          <rPr>
            <b/>
            <sz val="8"/>
            <rFont val="Tahoma"/>
            <family val="2"/>
          </rPr>
          <t>(Semi-)automated tasks</t>
        </r>
        <r>
          <rPr>
            <sz val="8"/>
            <rFont val="Tahoma"/>
            <family val="2"/>
          </rPr>
          <t xml:space="preserve"> are e.g.:
-  filling of cans with paints in which the worker has to arrange for a good transport of the cans to and from the filling spout;
Examples of </t>
        </r>
        <r>
          <rPr>
            <b/>
            <sz val="8"/>
            <rFont val="Tahoma"/>
            <family val="2"/>
          </rPr>
          <t>manual tasks</t>
        </r>
        <r>
          <rPr>
            <sz val="8"/>
            <rFont val="Tahoma"/>
            <family val="2"/>
          </rPr>
          <t xml:space="preserve"> are:
-  emptying a bucket of liquids by hand into a mixer;
-  opening bags and dumping the contants into a reactor</t>
        </r>
      </text>
    </comment>
    <comment ref="B20" authorId="1">
      <text>
        <r>
          <rPr>
            <sz val="8"/>
            <rFont val="Tahoma"/>
            <family val="2"/>
          </rPr>
          <t>The use rate is the amount of product handled per minute.
Median values in measured sets: liquids = 1, solids = 42,5</t>
        </r>
        <r>
          <rPr>
            <b/>
            <sz val="8"/>
            <rFont val="Tahoma"/>
            <family val="2"/>
          </rPr>
          <t xml:space="preserve">
</t>
        </r>
      </text>
    </comment>
  </commentList>
</comments>
</file>

<file path=xl/comments5.xml><?xml version="1.0" encoding="utf-8"?>
<comments xmlns="http://schemas.openxmlformats.org/spreadsheetml/2006/main">
  <authors>
    <author>NL</author>
    <author>marquartj</author>
  </authors>
  <commentList>
    <comment ref="B5" authorId="0">
      <text>
        <r>
          <rPr>
            <b/>
            <sz val="8"/>
            <rFont val="Tahoma"/>
            <family val="2"/>
          </rPr>
          <t>Extensive contact</t>
        </r>
        <r>
          <rPr>
            <sz val="8"/>
            <rFont val="Tahoma"/>
            <family val="2"/>
          </rPr>
          <t xml:space="preserve"> can occur if some parts of the surface cannot be easily reached, or if the worker has to wipe surfaces in a space with limited room to move.  An example is manual wiping of trucks, buses or MPVs.
In this scenario, by default the hands have extensive contact with the product.</t>
        </r>
      </text>
    </comment>
    <comment ref="A28" authorId="1">
      <text>
        <r>
          <rPr>
            <sz val="8"/>
            <rFont val="Tahoma"/>
            <family val="2"/>
          </rPr>
          <t xml:space="preserve">A combination of high application rate and long duration did not occur in the measured data. Therefore, the validity of the model for this combination is uncertain
</t>
        </r>
      </text>
    </comment>
  </commentList>
</comments>
</file>

<file path=xl/comments7.xml><?xml version="1.0" encoding="utf-8"?>
<comments xmlns="http://schemas.openxmlformats.org/spreadsheetml/2006/main">
  <authors>
    <author>NL</author>
    <author>marquartj</author>
  </authors>
  <commentList>
    <comment ref="B5" authorId="0">
      <text>
        <r>
          <rPr>
            <b/>
            <sz val="8"/>
            <rFont val="Tahoma"/>
            <family val="2"/>
          </rPr>
          <t>Extensive contact</t>
        </r>
        <r>
          <rPr>
            <sz val="8"/>
            <rFont val="Tahoma"/>
            <family val="2"/>
          </rPr>
          <t xml:space="preserve"> can occur if some parts of the surface cannot be easily reached, or if the worker has to wipe surfaces in a space with limited room to move.  An example is manual wiping of trucks, buses or MPVs.
In this scenario, by default the hands have extensive contact with the product.</t>
        </r>
      </text>
    </comment>
    <comment ref="A35" authorId="1">
      <text>
        <r>
          <rPr>
            <sz val="8"/>
            <rFont val="Tahoma"/>
            <family val="2"/>
          </rPr>
          <t xml:space="preserve">A combination of high application rate and long duration did not occur in the measured data. Therefore, the validity of the model for this combination is uncertain
</t>
        </r>
      </text>
    </comment>
  </commentList>
</comments>
</file>

<file path=xl/comments8.xml><?xml version="1.0" encoding="utf-8"?>
<comments xmlns="http://schemas.openxmlformats.org/spreadsheetml/2006/main">
  <authors>
    <author>NL</author>
    <author>marquartj</author>
  </authors>
  <commentList>
    <comment ref="B5" authorId="0">
      <text>
        <r>
          <rPr>
            <sz val="8"/>
            <rFont val="Tahoma"/>
            <family val="2"/>
          </rPr>
          <t xml:space="preserve">An example of </t>
        </r>
        <r>
          <rPr>
            <b/>
            <sz val="8"/>
            <rFont val="Tahoma"/>
            <family val="2"/>
          </rPr>
          <t>overhead</t>
        </r>
        <r>
          <rPr>
            <sz val="8"/>
            <rFont val="Tahoma"/>
            <family val="2"/>
          </rPr>
          <t xml:space="preserve"> application: rolling a ceiling with a wall paint.
An example of </t>
        </r>
        <r>
          <rPr>
            <b/>
            <sz val="8"/>
            <rFont val="Tahoma"/>
            <family val="2"/>
          </rPr>
          <t>level</t>
        </r>
        <r>
          <rPr>
            <sz val="8"/>
            <rFont val="Tahoma"/>
            <family val="2"/>
          </rPr>
          <t xml:space="preserve"> application: brushing a door with a lacquer.
An example of </t>
        </r>
        <r>
          <rPr>
            <b/>
            <sz val="8"/>
            <rFont val="Tahoma"/>
            <family val="2"/>
          </rPr>
          <t>downward</t>
        </r>
        <r>
          <rPr>
            <sz val="8"/>
            <rFont val="Tahoma"/>
            <family val="2"/>
          </rPr>
          <t xml:space="preserve"> application: applying carpet glues to the floor with a comb.</t>
        </r>
      </text>
    </comment>
    <comment ref="A33" authorId="1">
      <text>
        <r>
          <rPr>
            <sz val="8"/>
            <rFont val="Tahoma"/>
            <family val="2"/>
          </rPr>
          <t xml:space="preserve">A combination of high application rate and long duration did not occur in the measured data. Therefore, the validity of the model for this combination is uncertain
</t>
        </r>
      </text>
    </comment>
  </commentList>
</comments>
</file>

<file path=xl/sharedStrings.xml><?xml version="1.0" encoding="utf-8"?>
<sst xmlns="http://schemas.openxmlformats.org/spreadsheetml/2006/main" count="1310" uniqueCount="961">
  <si>
    <t>Spraying_orientation1</t>
  </si>
  <si>
    <t>Spraying_orientationa</t>
  </si>
  <si>
    <t>Spraying_orientation2</t>
  </si>
  <si>
    <t>Spraying_orientationb</t>
  </si>
  <si>
    <t>Spraying_orientation3</t>
  </si>
  <si>
    <t>Spraying_orientationc</t>
  </si>
  <si>
    <t>Spraying_proximity1</t>
  </si>
  <si>
    <t>Spraying_proximitya</t>
  </si>
  <si>
    <t>Spraying_proximity2</t>
  </si>
  <si>
    <t>Spraying_proximityb</t>
  </si>
  <si>
    <t>Spraying_proximity3</t>
  </si>
  <si>
    <t>Spraying_proximityc</t>
  </si>
  <si>
    <t>Spraying_volatility1</t>
  </si>
  <si>
    <t>Spraying_volatilitya</t>
  </si>
  <si>
    <t>Spraying_volatility2</t>
  </si>
  <si>
    <t>Spraying_volatilityb</t>
  </si>
  <si>
    <t>Spraying_volatility3</t>
  </si>
  <si>
    <t>Spraying_volatilityc</t>
  </si>
  <si>
    <t>Spraying_viscosity1</t>
  </si>
  <si>
    <t>Spraying_viscositya</t>
  </si>
  <si>
    <t>Spraying_viscosity2</t>
  </si>
  <si>
    <t>Spraying_viscosityb</t>
  </si>
  <si>
    <t>Spraying_viscosity3</t>
  </si>
  <si>
    <t>Spraying_viscosityc</t>
  </si>
  <si>
    <t>Spraying_directionairflow1</t>
  </si>
  <si>
    <t>Spraying_directionairflowa</t>
  </si>
  <si>
    <t>Spraying_directionairflow2</t>
  </si>
  <si>
    <t>Spraying_directionairflowb</t>
  </si>
  <si>
    <t>Spraying_directionairflow3</t>
  </si>
  <si>
    <t>Spraying_directionairflowc</t>
  </si>
  <si>
    <t>Spraying_ventilation1</t>
  </si>
  <si>
    <t>Spraying_ventilationa</t>
  </si>
  <si>
    <t>Spraying_ventilation2</t>
  </si>
  <si>
    <t>Spraying_ventilationb</t>
  </si>
  <si>
    <t>Spraying_ventilation3</t>
  </si>
  <si>
    <t>Spraying_ventilationc</t>
  </si>
  <si>
    <t>Spraying_bodyeffect</t>
  </si>
  <si>
    <t>Spraying_handeffect</t>
  </si>
  <si>
    <t>Spraying_powerbody</t>
  </si>
  <si>
    <t>Spraying_powerhand</t>
  </si>
  <si>
    <t>Spraying_physicalstate1</t>
  </si>
  <si>
    <t>Spraying_physicalstatea</t>
  </si>
  <si>
    <t>Spraying_physicalstate2</t>
  </si>
  <si>
    <t>Spraying_physicalstateb</t>
  </si>
  <si>
    <t>Spraying_physicalstate3</t>
  </si>
  <si>
    <t>Spraying_physicalstatec</t>
  </si>
  <si>
    <t>Spraying_contactfrequency1</t>
  </si>
  <si>
    <t>Spraying_contactfrequencya</t>
  </si>
  <si>
    <t>Spraying_contactfrequency2</t>
  </si>
  <si>
    <t>Spraying_contactfrequencyb</t>
  </si>
  <si>
    <t>Spraying_contactfrequency3</t>
  </si>
  <si>
    <t>Spraying_contactfrequencyc</t>
  </si>
  <si>
    <t>Spraying_unit1</t>
  </si>
  <si>
    <t>Spraying_unita</t>
  </si>
  <si>
    <t>Spraying_unit2</t>
  </si>
  <si>
    <t>Spraying_unitb</t>
  </si>
  <si>
    <t>Spraying_unit21</t>
  </si>
  <si>
    <t>Spraying_unit2a</t>
  </si>
  <si>
    <t>Spraying_unit22</t>
  </si>
  <si>
    <t>Spraying_unit2b</t>
  </si>
  <si>
    <t>Spraying_indoors1</t>
  </si>
  <si>
    <t>Spraying_indoorsa</t>
  </si>
  <si>
    <t>Spraying_indoors2</t>
  </si>
  <si>
    <t>Spraying_indoorsb</t>
  </si>
  <si>
    <t>Spraying_segregation1</t>
  </si>
  <si>
    <t>Spraying_segregationa</t>
  </si>
  <si>
    <t>Spraying_segregation2</t>
  </si>
  <si>
    <t>Spraying_segregationb</t>
  </si>
  <si>
    <t>Spraying refers to:</t>
  </si>
  <si>
    <t>spray application of products such as paints, glues, cleaning agents</t>
  </si>
  <si>
    <t xml:space="preserve">hosing down with water using a normal water line under normal pressure </t>
  </si>
  <si>
    <r>
      <t xml:space="preserve">is </t>
    </r>
    <r>
      <rPr>
        <u val="single"/>
        <sz val="10"/>
        <rFont val="Arial"/>
        <family val="2"/>
      </rPr>
      <t>not</t>
    </r>
    <r>
      <rPr>
        <sz val="10"/>
        <rFont val="Arial"/>
        <family val="2"/>
      </rPr>
      <t xml:space="preserve"> included.</t>
    </r>
  </si>
  <si>
    <t>Fillmixload_viscosity3</t>
  </si>
  <si>
    <t>Wiping_viscosity3</t>
  </si>
  <si>
    <t>Fillmixload_directionairflow1</t>
  </si>
  <si>
    <t>Wiping_directionairflow1</t>
  </si>
  <si>
    <t>Fillmixload_directionairflow2</t>
  </si>
  <si>
    <t>Wiping_directionairflow2</t>
  </si>
  <si>
    <t>Fillmixload_directionairflow3</t>
  </si>
  <si>
    <t>Wiping_directionairflow3</t>
  </si>
  <si>
    <t>Fillmixload_ventilation1</t>
  </si>
  <si>
    <t>Wiping_ventilation1</t>
  </si>
  <si>
    <t>Fillmixload_ventilation2</t>
  </si>
  <si>
    <t>Wiping_ventilation2</t>
  </si>
  <si>
    <t>Fillmixload_ventilation3</t>
  </si>
  <si>
    <t>Wiping_ventilation3</t>
  </si>
  <si>
    <t>Fillmixload_physicalstate1</t>
  </si>
  <si>
    <t>Wiping_physicalstate1</t>
  </si>
  <si>
    <t>Fillmixload_physicalstate2</t>
  </si>
  <si>
    <t>Wiping_physicalstate2</t>
  </si>
  <si>
    <t>Fillmixload_physicalstate3</t>
  </si>
  <si>
    <t>Dispersion hand-held tools</t>
  </si>
  <si>
    <t>0,56 - 225</t>
  </si>
  <si>
    <t>0,0017 -     1,18</t>
  </si>
  <si>
    <t>0,0001 -     1,1</t>
  </si>
  <si>
    <t>Spraying</t>
  </si>
  <si>
    <t>0,02 -      0,12</t>
  </si>
  <si>
    <t>0,04     -   50,4</t>
  </si>
  <si>
    <t>Combination of high use rate and high duration was very rare</t>
  </si>
  <si>
    <t>Mechanical treatment</t>
  </si>
  <si>
    <t>18-154 min. solids</t>
  </si>
  <si>
    <t>47-214 min. liquids</t>
  </si>
  <si>
    <t>18 - 154</t>
  </si>
  <si>
    <t xml:space="preserve">  4 -  90</t>
  </si>
  <si>
    <t xml:space="preserve">  1 -  20</t>
  </si>
  <si>
    <t xml:space="preserve"> 0,33 - 125</t>
  </si>
  <si>
    <t xml:space="preserve"> 5     -   35</t>
  </si>
  <si>
    <t xml:space="preserve"> 1     - 445</t>
  </si>
  <si>
    <t xml:space="preserve"> 3     - 600</t>
  </si>
  <si>
    <t xml:space="preserve"> 4     - 483</t>
  </si>
  <si>
    <t>47    - 214</t>
  </si>
  <si>
    <t>Use the buttons to move through the spreadsheet; e.g go back to Process</t>
  </si>
  <si>
    <t>Explanation / show changes and validity ranges</t>
  </si>
  <si>
    <t>Wiping_physicalstate3</t>
  </si>
  <si>
    <t>Fillmixload_contactfrequency1</t>
  </si>
  <si>
    <t>Wiping_contactfrequency1</t>
  </si>
  <si>
    <t>Fillmixload_contactfrequency2</t>
  </si>
  <si>
    <t>Wiping_contactfrequency2</t>
  </si>
  <si>
    <t>Scroll up or down</t>
  </si>
  <si>
    <t>The sheet "Fillmixload_results" provides an overview of the results of this assessment</t>
  </si>
  <si>
    <t>Choose the relevant process for the assessment</t>
  </si>
  <si>
    <t>Filling, mixing or loading (DEO unit 1)</t>
  </si>
  <si>
    <t>Dispersion_intercept</t>
  </si>
  <si>
    <t>Dispersion_orientation1</t>
  </si>
  <si>
    <t>Dispersion_orientationa</t>
  </si>
  <si>
    <t>Dispersion_orientation2</t>
  </si>
  <si>
    <t>Dispersion_orientationb</t>
  </si>
  <si>
    <t>Dispersion_orientation3</t>
  </si>
  <si>
    <t>Dispersion_orientationc</t>
  </si>
  <si>
    <t>Dispersion_proximity1</t>
  </si>
  <si>
    <t>Dispersion_proximitya</t>
  </si>
  <si>
    <t>Dispersion_proximity2</t>
  </si>
  <si>
    <t>Dispersion_proximityb</t>
  </si>
  <si>
    <t>Dispersion_proximity3</t>
  </si>
  <si>
    <t>Dispersion_proximityc</t>
  </si>
  <si>
    <t>Dispersion_volatility1</t>
  </si>
  <si>
    <t>Dispersion_volatilitya</t>
  </si>
  <si>
    <t>Dispersion_volatility2</t>
  </si>
  <si>
    <t>Dispersion_volatilityb</t>
  </si>
  <si>
    <t>Dispersion_volatility3</t>
  </si>
  <si>
    <t>Dispersion_volatilityc</t>
  </si>
  <si>
    <t>Dispersion_viscosity1</t>
  </si>
  <si>
    <t>Dispersion_viscositya</t>
  </si>
  <si>
    <t>Dispersion_viscosity2</t>
  </si>
  <si>
    <t>Dispersion_viscosityb</t>
  </si>
  <si>
    <t>Dispersion_viscosity3</t>
  </si>
  <si>
    <t>Dispersion_viscosityc</t>
  </si>
  <si>
    <t>Dispersion_directionairflow1</t>
  </si>
  <si>
    <t>Dispersion_directionairflowa</t>
  </si>
  <si>
    <t>Dispersion_directionairflow2</t>
  </si>
  <si>
    <t>Dispersion_directionairflowb</t>
  </si>
  <si>
    <t>Dispersion_directionairflow3</t>
  </si>
  <si>
    <t>Dispersion_directionairflowc</t>
  </si>
  <si>
    <t>Dispersion_ventilation1</t>
  </si>
  <si>
    <t>Dispersion_ventilationa</t>
  </si>
  <si>
    <t>Dispersion_ventilation2</t>
  </si>
  <si>
    <t>Dispersion_ventilationb</t>
  </si>
  <si>
    <t>Dispersion_ventilation3</t>
  </si>
  <si>
    <t>Dispersion_ventilationc</t>
  </si>
  <si>
    <t>Dispersion_bodyeffect</t>
  </si>
  <si>
    <t>Dispersion_handeffect</t>
  </si>
  <si>
    <t>Dispersion_powerbody</t>
  </si>
  <si>
    <t>Dispersion_powerhand</t>
  </si>
  <si>
    <r>
      <t>►</t>
    </r>
    <r>
      <rPr>
        <sz val="10"/>
        <rFont val="Arial"/>
        <family val="0"/>
      </rPr>
      <t xml:space="preserve"> For DEO unit 1 (Handling of contaminated format), only the model for filling, mixing and loading is kept. The other scenarios had too limited data.</t>
    </r>
  </si>
  <si>
    <t>See the guidance for some remarks on different criteria for the performance of the model.</t>
  </si>
  <si>
    <t>The model performs quite reasonable according to the different criteria (see the guidance).</t>
  </si>
  <si>
    <t>See the guidance for some remarks on different criteria for the performance of the model</t>
  </si>
  <si>
    <t>Give a name to the assessment if you want to:</t>
  </si>
  <si>
    <t>This model does not perform very well according to several criteria (see the guidance)</t>
  </si>
  <si>
    <t>The model performs quite reasonable according to the different criteria</t>
  </si>
  <si>
    <r>
      <t>►</t>
    </r>
    <r>
      <rPr>
        <sz val="10"/>
        <rFont val="Arial"/>
        <family val="0"/>
      </rPr>
      <t xml:space="preserve"> </t>
    </r>
    <r>
      <rPr>
        <sz val="10"/>
        <rFont val="Arial"/>
        <family val="0"/>
      </rPr>
      <t>The general format of the model was changed. A Start screen and Process choice screen were added.</t>
    </r>
  </si>
  <si>
    <t xml:space="preserve">    For each assessment, you now have to choose the correct process first in the "Process" sheet. After doing the assessment you can turn back to the</t>
  </si>
  <si>
    <t xml:space="preserve">    "Process" sheet to do another assessment for another process.</t>
  </si>
  <si>
    <r>
      <t>►</t>
    </r>
    <r>
      <rPr>
        <sz val="10"/>
        <rFont val="Arial"/>
        <family val="0"/>
      </rPr>
      <t xml:space="preserve"> An output sheet has been added for each process. If you fill in the input fields, you can click on "Overview results".</t>
    </r>
  </si>
  <si>
    <t xml:space="preserve">    This sheet will provide you with an overview of the inputs you gave and the outcome, i.e. 10 to 90 percentiles as well as 95 and 99 percentiles.</t>
  </si>
  <si>
    <r>
      <t xml:space="preserve">Changes compared to version 1.0 of the model - as regards </t>
    </r>
    <r>
      <rPr>
        <b/>
        <sz val="10"/>
        <color indexed="48"/>
        <rFont val="Arial"/>
        <family val="2"/>
      </rPr>
      <t>content</t>
    </r>
  </si>
  <si>
    <r>
      <t xml:space="preserve">Changes compared to version 1.0 of the model - as regards </t>
    </r>
    <r>
      <rPr>
        <b/>
        <sz val="10"/>
        <color indexed="48"/>
        <rFont val="Arial"/>
        <family val="2"/>
      </rPr>
      <t>presentation</t>
    </r>
  </si>
  <si>
    <r>
      <t>►</t>
    </r>
    <r>
      <rPr>
        <sz val="10"/>
        <rFont val="Arial"/>
        <family val="0"/>
      </rPr>
      <t xml:space="preserve"> </t>
    </r>
    <r>
      <rPr>
        <sz val="10"/>
        <rFont val="Arial"/>
        <family val="0"/>
      </rPr>
      <t>Warnings will appear when you enter a value for a continuous variable (use rate or duration of exposure) higher than those encountered in the measured</t>
    </r>
  </si>
  <si>
    <t xml:space="preserve">    data on which the model was based. In some cases also a warning for a combination of these two that was not encountered is given.</t>
  </si>
  <si>
    <t>Validity ranges of the model</t>
  </si>
  <si>
    <t>The model is valid for the situations fitting with the situations covered in the underlying data sets. Outside of these situations the validity is not sure.</t>
  </si>
  <si>
    <t>In the next table the boundaries of the measured data for use rate and duration are presented per process.</t>
  </si>
  <si>
    <t>Process</t>
  </si>
  <si>
    <t>Solids</t>
  </si>
  <si>
    <t>Liquids</t>
  </si>
  <si>
    <t>Duration (minutes)</t>
  </si>
  <si>
    <t>Use rate (L/min or kg/min)</t>
  </si>
  <si>
    <t>Filling, mixing and loading</t>
  </si>
  <si>
    <t xml:space="preserve">    This is most important for immersion, where the GSDs for body and hands are very different (respectively 9.4 and 34.2) </t>
  </si>
  <si>
    <t xml:space="preserve">    and for Dispersion with a hand-held tool (GSDs of 5.9 and 11.2)</t>
  </si>
  <si>
    <t>---</t>
  </si>
  <si>
    <t>There is also a boundary to the combination of use rate and duration</t>
  </si>
  <si>
    <t>Dispersion_physicalstate1</t>
  </si>
  <si>
    <t>Dispersion_physicalstatea</t>
  </si>
  <si>
    <t>Dispersion_physicalstate2</t>
  </si>
  <si>
    <t>Dispersion_physicalstateb</t>
  </si>
  <si>
    <t>Dispersion_physicalstate3</t>
  </si>
  <si>
    <t>Dispersion_physicalstatec</t>
  </si>
  <si>
    <t>Dispersion_contactfrequency1</t>
  </si>
  <si>
    <t>Dispersion_contactfrequencya</t>
  </si>
  <si>
    <t>Dispersion_contactfrequency2</t>
  </si>
  <si>
    <t>Dispersion_contactfrequencyb</t>
  </si>
  <si>
    <t>Dispersion_contactfrequency3</t>
  </si>
  <si>
    <t>Dispersion_contactfrequencyc</t>
  </si>
  <si>
    <t>Dispersion_unit1</t>
  </si>
  <si>
    <t>Dispersion_unita</t>
  </si>
  <si>
    <t>Dispersion_unit2</t>
  </si>
  <si>
    <t>Dispersion_unitb</t>
  </si>
  <si>
    <t>Dispersion_unit21</t>
  </si>
  <si>
    <t>Dispersion_unit2a</t>
  </si>
  <si>
    <t>Dispersion_unit22</t>
  </si>
  <si>
    <t>Dispersion_unit2b</t>
  </si>
  <si>
    <t>Dispersion_tools_op1</t>
  </si>
  <si>
    <t>Dispersion_tools_opa</t>
  </si>
  <si>
    <t>Dispersion_tools_op2</t>
  </si>
  <si>
    <t>Dispersion_tools_opb</t>
  </si>
  <si>
    <t>Dispersion_tools_op3</t>
  </si>
  <si>
    <t>Dispersion_tools_opc</t>
  </si>
  <si>
    <t>Dispersion_GSDhands</t>
  </si>
  <si>
    <t>Dispersion_GSDbody</t>
  </si>
  <si>
    <t>Dispersion_lnapplicationrate</t>
  </si>
  <si>
    <t>hands GSD</t>
  </si>
  <si>
    <t>Body GSD</t>
  </si>
  <si>
    <t>Body effect</t>
  </si>
  <si>
    <t>Hand effect</t>
  </si>
  <si>
    <t>Power hands</t>
  </si>
  <si>
    <t>Power body</t>
  </si>
  <si>
    <t>Dispersion_medianratehands</t>
  </si>
  <si>
    <r>
      <t>►</t>
    </r>
    <r>
      <rPr>
        <sz val="10"/>
        <rFont val="Arial"/>
        <family val="0"/>
      </rPr>
      <t xml:space="preserve"> </t>
    </r>
    <r>
      <rPr>
        <sz val="10"/>
        <rFont val="Arial"/>
        <family val="0"/>
      </rPr>
      <t>Separate factors have been calculated for the within-worker variability for hands and body.</t>
    </r>
  </si>
  <si>
    <t xml:space="preserve">    This resulted in different GSDs for hands and body for some processes.</t>
  </si>
  <si>
    <t xml:space="preserve">    The most important effect of the recalculations is seen at the high percentiles of the exposure distribution, where the influence of the GSDs is very high.</t>
  </si>
  <si>
    <r>
      <t>►</t>
    </r>
    <r>
      <rPr>
        <sz val="10"/>
        <rFont val="Arial"/>
        <family val="0"/>
      </rPr>
      <t xml:space="preserve"> This has also slightly altered the calculated influence of some determinants. However, these changes are relatively minor.</t>
    </r>
  </si>
  <si>
    <t>Dispersion_medianratebody</t>
  </si>
  <si>
    <t>Dispersion_percentileratehands</t>
  </si>
  <si>
    <t>Dispersion_percentileratebody</t>
  </si>
  <si>
    <t>Dispersion_medianloadinghands</t>
  </si>
  <si>
    <t>Dispersion_medianloadingbody</t>
  </si>
  <si>
    <t>Dispersion_percentileloadinghands</t>
  </si>
  <si>
    <t>Dispersion_percentileloadingbody</t>
  </si>
  <si>
    <t>Dispersion_digitmedianratehands</t>
  </si>
  <si>
    <t>Dispersion_digitmedianratebody</t>
  </si>
  <si>
    <t>Dispersion_digitpercentileratehands</t>
  </si>
  <si>
    <t>Dispersion_digitpercentileratebody</t>
  </si>
  <si>
    <t>Dispersion_digitmedianloadinghands</t>
  </si>
  <si>
    <t>Dispersion_digitmedianloadingbody</t>
  </si>
  <si>
    <t>Dispersion_digitpercentileloadinghands</t>
  </si>
  <si>
    <t>Dispersion_digitpercentileloadingbody</t>
  </si>
  <si>
    <t>Dispersion_medianhandsraterounded</t>
  </si>
  <si>
    <t>Dispersion_medianbodyraterounded</t>
  </si>
  <si>
    <t>Dispersion_percentilehandsraterounded</t>
  </si>
  <si>
    <t>Dispersion_percentilebodyraterounded</t>
  </si>
  <si>
    <t>Dispersion_medianhandsloadingrounded</t>
  </si>
  <si>
    <t>Dispersion_medianbodyloadingrounded</t>
  </si>
  <si>
    <t>Dispersion_percentilehandsloadingrounded</t>
  </si>
  <si>
    <t>Dispersion_percentilebodyloadingrounded</t>
  </si>
  <si>
    <t>0,0001-1,1 L/min</t>
  </si>
  <si>
    <t>1-445 min</t>
  </si>
  <si>
    <t>What is the direction of application?</t>
  </si>
  <si>
    <r>
      <t xml:space="preserve">Watch for </t>
    </r>
    <r>
      <rPr>
        <b/>
        <sz val="10"/>
        <rFont val="Arial"/>
        <family val="2"/>
      </rPr>
      <t>warning messages</t>
    </r>
    <r>
      <rPr>
        <sz val="10"/>
        <rFont val="Arial"/>
        <family val="0"/>
      </rPr>
      <t xml:space="preserve"> in orange</t>
    </r>
  </si>
  <si>
    <t>Value outside of measured range!</t>
  </si>
  <si>
    <t>Warnings for combination of application rate and duration appear in orange</t>
  </si>
  <si>
    <t>Application rate higher than ….</t>
  </si>
  <si>
    <t>Start with choosing a relevant process in the next sheet</t>
  </si>
  <si>
    <t xml:space="preserve">         </t>
  </si>
  <si>
    <t xml:space="preserve">Filling, mixing or loading refers to: </t>
  </si>
  <si>
    <t>weighing of powders, dumping of powders from bags of drums</t>
  </si>
  <si>
    <t>pumping of liquids, pouring of liquids, scooping of liquids or pastes, etc</t>
  </si>
  <si>
    <t>Wiping refers to:</t>
  </si>
  <si>
    <t>wiping surfaces with a liquid (preparation), including e.g. cleaning agents</t>
  </si>
  <si>
    <t>wiping is done with a sponge or cloth or rag, or another tool without handle</t>
  </si>
  <si>
    <t>Dispersion with hand-held tools refers to:</t>
  </si>
  <si>
    <t>dispersion of products or substances by using a brush, comb, rake, roller</t>
  </si>
  <si>
    <t>or other tool with a handle; the purpose is to spread the product over a surface.</t>
  </si>
  <si>
    <t>the purpose is to transfer product from one container to another</t>
  </si>
  <si>
    <t>the purpose is to spread the product over the surface</t>
  </si>
  <si>
    <t>Fillmixload_contactfrequency3</t>
  </si>
  <si>
    <t>Wiping_contactfrequency3</t>
  </si>
  <si>
    <t>Fillmixload_unit1</t>
  </si>
  <si>
    <t>Wiping_unit1</t>
  </si>
  <si>
    <t>Fillmixload_unit2</t>
  </si>
  <si>
    <t>Wiping_unit2</t>
  </si>
  <si>
    <t>Fillmixload_unit21</t>
  </si>
  <si>
    <t>Wiping_unit21</t>
  </si>
  <si>
    <t>Fillmixload_unit22</t>
  </si>
  <si>
    <t>Wiping_unit22</t>
  </si>
  <si>
    <t>Fillmixload_automation1</t>
  </si>
  <si>
    <t>Fillmixload_automation2</t>
  </si>
  <si>
    <t>Wiping_extensivebodycontact1</t>
  </si>
  <si>
    <t>Wiping_extensivebodycontact2</t>
  </si>
  <si>
    <t>Wiping_GSDhands</t>
  </si>
  <si>
    <t>Wiping_GSDbody</t>
  </si>
  <si>
    <t>Wiping_lnapplicationrate</t>
  </si>
  <si>
    <t>Wiping_medianratehands</t>
  </si>
  <si>
    <t>Wiping_medianratebody</t>
  </si>
  <si>
    <t>Wiping_percentileratehands</t>
  </si>
  <si>
    <t>Wiping_percentileratebody</t>
  </si>
  <si>
    <t>Wiping_medianloadinghands</t>
  </si>
  <si>
    <t>Wiping_medianloadingbody</t>
  </si>
  <si>
    <t>Wiping_percentileloadinghands</t>
  </si>
  <si>
    <t>Wiping_percentileloadingbody</t>
  </si>
  <si>
    <t>Wiping_bodyeffect</t>
  </si>
  <si>
    <t>Wiping_handseffect</t>
  </si>
  <si>
    <t>meaning</t>
  </si>
  <si>
    <t>parameter</t>
  </si>
  <si>
    <t>Extensivebodycontact</t>
  </si>
  <si>
    <t>applicationrate</t>
  </si>
  <si>
    <t>lnapplicationrate</t>
  </si>
  <si>
    <t>intercept</t>
  </si>
  <si>
    <t>GSDhands</t>
  </si>
  <si>
    <t>GSDbody</t>
  </si>
  <si>
    <t>Wiping_medianhandsraterounded</t>
  </si>
  <si>
    <t>Wiping_medianbodyraterounded</t>
  </si>
  <si>
    <t>Wiping_percentilehandsraterounded</t>
  </si>
  <si>
    <t>Wiping_percentilebodyraterounded</t>
  </si>
  <si>
    <t>Wiping_medianhandsloadingrounded</t>
  </si>
  <si>
    <t>Wiping_medianbodyloadingrounded</t>
  </si>
  <si>
    <t>Wiping_percentilehandsloadingrounded</t>
  </si>
  <si>
    <t>Wiping_percentilebodyloadingrounded</t>
  </si>
  <si>
    <t>Wiping_digitmedianratehands</t>
  </si>
  <si>
    <t>Wiping_digitmedianratebody</t>
  </si>
  <si>
    <t>Wiping_digitpercentileratehands</t>
  </si>
  <si>
    <t>Wiping_digitpercentileratebody</t>
  </si>
  <si>
    <t>Wiping_digitmedianloadinghands</t>
  </si>
  <si>
    <t>Wiping_digitmedianloadingbody</t>
  </si>
  <si>
    <t>Wiping_digitpercentileloadinghands</t>
  </si>
  <si>
    <t>Wiping_digitpercentileloadingbody</t>
  </si>
  <si>
    <t>Measured range</t>
  </si>
  <si>
    <t>0,0017-1,18 L/min</t>
  </si>
  <si>
    <t>5-35 min</t>
  </si>
  <si>
    <t xml:space="preserve">default 0,244 </t>
  </si>
  <si>
    <t>Remarks</t>
  </si>
  <si>
    <r>
      <t>Hands (820 cm</t>
    </r>
    <r>
      <rPr>
        <b/>
        <vertAlign val="superscript"/>
        <sz val="10"/>
        <rFont val="Arial"/>
        <family val="2"/>
      </rPr>
      <t>2</t>
    </r>
    <r>
      <rPr>
        <b/>
        <sz val="10"/>
        <rFont val="Arial"/>
        <family val="2"/>
      </rPr>
      <t>)</t>
    </r>
  </si>
  <si>
    <r>
      <t>Body (18720 cm</t>
    </r>
    <r>
      <rPr>
        <b/>
        <vertAlign val="superscript"/>
        <sz val="10"/>
        <rFont val="Arial"/>
        <family val="2"/>
      </rPr>
      <t>2</t>
    </r>
    <r>
      <rPr>
        <b/>
        <sz val="10"/>
        <rFont val="Arial"/>
        <family val="2"/>
      </rPr>
      <t>)</t>
    </r>
  </si>
  <si>
    <t>measured range: 0,0017-1,18 L/min</t>
  </si>
  <si>
    <t>default 20 minutes</t>
  </si>
  <si>
    <t>default 0,25*mean duration ~ 5</t>
  </si>
  <si>
    <t>measured range 5-35 minutes</t>
  </si>
  <si>
    <t>DEO choice</t>
  </si>
  <si>
    <t>DEO_choice1</t>
  </si>
  <si>
    <t>DEO_choice2</t>
  </si>
  <si>
    <t>DEO_choice3</t>
  </si>
  <si>
    <t>DEO_choice4</t>
  </si>
  <si>
    <t>DEO_choice5</t>
  </si>
  <si>
    <t>DEO_choice6</t>
  </si>
  <si>
    <t>DEO_choicea</t>
  </si>
  <si>
    <t>DEO_choiceb</t>
  </si>
  <si>
    <r>
      <t>Hands rate (</t>
    </r>
    <r>
      <rPr>
        <b/>
        <sz val="10"/>
        <rFont val="Times New Roman"/>
        <family val="1"/>
      </rPr>
      <t>μ</t>
    </r>
    <r>
      <rPr>
        <b/>
        <sz val="10"/>
        <rFont val="Arial"/>
        <family val="2"/>
      </rPr>
      <t>L/min)</t>
    </r>
  </si>
  <si>
    <r>
      <t>Body rate (</t>
    </r>
    <r>
      <rPr>
        <b/>
        <sz val="10"/>
        <rFont val="Times New Roman"/>
        <family val="1"/>
      </rPr>
      <t>μ</t>
    </r>
    <r>
      <rPr>
        <b/>
        <sz val="10"/>
        <rFont val="Arial"/>
        <family val="2"/>
      </rPr>
      <t>L/min)</t>
    </r>
  </si>
  <si>
    <r>
      <t>Hands rate (</t>
    </r>
    <r>
      <rPr>
        <b/>
        <sz val="10"/>
        <rFont val="Times New Roman"/>
        <family val="1"/>
      </rPr>
      <t>μ</t>
    </r>
    <r>
      <rPr>
        <b/>
        <sz val="10"/>
        <rFont val="Arial"/>
        <family val="2"/>
      </rPr>
      <t>L/min or mg/min)</t>
    </r>
  </si>
  <si>
    <r>
      <t>Hands loading (</t>
    </r>
    <r>
      <rPr>
        <b/>
        <sz val="10"/>
        <rFont val="Times New Roman"/>
        <family val="1"/>
      </rPr>
      <t>μ</t>
    </r>
    <r>
      <rPr>
        <b/>
        <sz val="10"/>
        <rFont val="Arial"/>
        <family val="2"/>
      </rPr>
      <t>L or mg)</t>
    </r>
  </si>
  <si>
    <r>
      <t>Body rate (</t>
    </r>
    <r>
      <rPr>
        <b/>
        <sz val="10"/>
        <rFont val="Times New Roman"/>
        <family val="1"/>
      </rPr>
      <t>μ</t>
    </r>
    <r>
      <rPr>
        <b/>
        <sz val="10"/>
        <rFont val="Arial"/>
        <family val="2"/>
      </rPr>
      <t>L/min or mg/min)</t>
    </r>
  </si>
  <si>
    <r>
      <t>Body loading (</t>
    </r>
    <r>
      <rPr>
        <b/>
        <sz val="10"/>
        <rFont val="Times New Roman"/>
        <family val="1"/>
      </rPr>
      <t>μ</t>
    </r>
    <r>
      <rPr>
        <b/>
        <sz val="10"/>
        <rFont val="Arial"/>
        <family val="2"/>
      </rPr>
      <t>L or mg)</t>
    </r>
  </si>
  <si>
    <r>
      <t>Hands loading (</t>
    </r>
    <r>
      <rPr>
        <b/>
        <sz val="10"/>
        <rFont val="Times New Roman"/>
        <family val="1"/>
      </rPr>
      <t>μ</t>
    </r>
    <r>
      <rPr>
        <b/>
        <sz val="10"/>
        <rFont val="Arial"/>
        <family val="2"/>
      </rPr>
      <t>L)</t>
    </r>
  </si>
  <si>
    <r>
      <t>Body loading (</t>
    </r>
    <r>
      <rPr>
        <b/>
        <sz val="10"/>
        <rFont val="Times New Roman"/>
        <family val="1"/>
      </rPr>
      <t>μL</t>
    </r>
    <r>
      <rPr>
        <b/>
        <sz val="10"/>
        <rFont val="Arial"/>
        <family val="2"/>
      </rPr>
      <t>)</t>
    </r>
  </si>
  <si>
    <t>Changes in version 2.2</t>
  </si>
  <si>
    <r>
      <t xml:space="preserve">In version 2.2 some errors in units in the output sheets have been corrected. In several sheets the units were not fully appropriate (e.g. mL/min instead of </t>
    </r>
    <r>
      <rPr>
        <sz val="10"/>
        <rFont val="Times New Roman"/>
        <family val="1"/>
      </rPr>
      <t>μ</t>
    </r>
    <r>
      <rPr>
        <sz val="10"/>
        <rFont val="Arial"/>
        <family val="0"/>
      </rPr>
      <t>L/min). Or only units for solids</t>
    </r>
  </si>
  <si>
    <t>were presented. This has been corrected.</t>
  </si>
  <si>
    <t>Also, the header in the graph for "mechanical treatment", which read "immersion" by mistake, has been corrected.</t>
  </si>
  <si>
    <t>DEO_choicec</t>
  </si>
  <si>
    <t>DEO_choiced</t>
  </si>
  <si>
    <t>DEO_choicee</t>
  </si>
  <si>
    <t>DEO_choicef</t>
  </si>
  <si>
    <t>Filling mixing or loading</t>
  </si>
  <si>
    <t>Wiping</t>
  </si>
  <si>
    <t>Application with handheld tool</t>
  </si>
  <si>
    <t>Spray application</t>
  </si>
  <si>
    <t>Immersion</t>
  </si>
  <si>
    <t>Treatment of solid object</t>
  </si>
  <si>
    <t>Inputs</t>
  </si>
  <si>
    <t>Extensive body contact with freshly wiped surfaces?</t>
  </si>
  <si>
    <t>Application rate of product (L/min)</t>
  </si>
  <si>
    <t>Warnings</t>
  </si>
  <si>
    <t>Cumulative duration of scenario per shift (min)</t>
  </si>
  <si>
    <t>Results - percentiles</t>
  </si>
  <si>
    <t>Hands loading (mg)</t>
  </si>
  <si>
    <t>Fillmixload_medianratehands</t>
  </si>
  <si>
    <t>Fillmixload_digitmedianratehands</t>
  </si>
  <si>
    <t>Fillmixload_medianratebody</t>
  </si>
  <si>
    <t>Fillmixload_digitmedianratebody</t>
  </si>
  <si>
    <t>Fillmixload_percentileratehands</t>
  </si>
  <si>
    <t>Fillmixload_digitpercentileratehands</t>
  </si>
  <si>
    <t>1-20 min for powders; 0,33-125 for liquids</t>
  </si>
  <si>
    <t>fillmixload</t>
  </si>
  <si>
    <t>fillmixload_userate_liquid_upper</t>
  </si>
  <si>
    <t>This is the second version of the RISKOFDERM potential dermal exposure model.</t>
  </si>
  <si>
    <t>The calculated results are slightly different from the first version, because the parameters have been recalculated with a mixed-effect model.</t>
  </si>
  <si>
    <t>Also, the model now contains the option to print-out an overview of the results.</t>
  </si>
  <si>
    <t>For more explanation on the working of the model, see the sheet "Explanation"</t>
  </si>
  <si>
    <t>More information is presented with the model parameters and with the print-out of results on the validity_boundaries of the model.</t>
  </si>
  <si>
    <t>You may use the model outside of the presented validity-boundaries. However, you should be more careful in interpreting the results.</t>
  </si>
  <si>
    <r>
      <t xml:space="preserve">Choose the most appropriate process from the list of </t>
    </r>
    <r>
      <rPr>
        <b/>
        <sz val="10"/>
        <rFont val="Arial"/>
        <family val="2"/>
      </rPr>
      <t>scenarios.</t>
    </r>
  </si>
  <si>
    <r>
      <t>You may add up</t>
    </r>
    <r>
      <rPr>
        <b/>
        <sz val="10"/>
        <rFont val="Arial"/>
        <family val="2"/>
      </rPr>
      <t xml:space="preserve"> loadings of several tasks</t>
    </r>
    <r>
      <rPr>
        <sz val="10"/>
        <rFont val="Arial"/>
        <family val="0"/>
      </rPr>
      <t xml:space="preserve"> within a shift.  Do not  staple worst case assumptions!</t>
    </r>
  </si>
  <si>
    <t>0,04-50,4 L/min for liquids;             0,02-0,12 kg/min for solids</t>
  </si>
  <si>
    <t>fillmixload_userate_powder_upper</t>
  </si>
  <si>
    <t>fillmixload_warning_userate_liquid_upper</t>
  </si>
  <si>
    <t>fillmixload_warning_userate_powder_upper</t>
  </si>
  <si>
    <t>fillmixload_duration_liquid_upper</t>
  </si>
  <si>
    <t>fillmixload_duration_powder_upper</t>
  </si>
  <si>
    <t>fillmixload_warning_duration_liquid_upper</t>
  </si>
  <si>
    <t>fillmixload_warning_duration_powder_upper</t>
  </si>
  <si>
    <t>Model was based on values up to 125 minutes for liquids!</t>
  </si>
  <si>
    <t>Model was based on values up to 20 minutes for powders!</t>
  </si>
  <si>
    <t>fillmixload_warning_powder_automation</t>
  </si>
  <si>
    <t>Model was based on manual tasks only for powders!</t>
  </si>
  <si>
    <t>Fillmixload_medianhandsraterounded</t>
  </si>
  <si>
    <t>Fillmixload_medianbodyraterounded</t>
  </si>
  <si>
    <t>Fillmixload_percentilehandsraterounded</t>
  </si>
  <si>
    <t>Fillmixload_percentilebodyraterounded</t>
  </si>
  <si>
    <t>Fillmixload_medianhandsloadingrounded</t>
  </si>
  <si>
    <t>Fillmixload_medianbodyloadingrounded</t>
  </si>
  <si>
    <t>Fillmixload_percentilehandsloadingrounded</t>
  </si>
  <si>
    <t>Fillmixload_percentilebodyloadingrounded</t>
  </si>
  <si>
    <t>apprate_fillmixload</t>
  </si>
  <si>
    <t>only hand exposure is estimated with this model</t>
  </si>
  <si>
    <t>Fillmixload_percentile</t>
  </si>
  <si>
    <t>Fillmixload_cumulativeduration</t>
  </si>
  <si>
    <t>What is the quality of the ventilation?</t>
  </si>
  <si>
    <t>What is the frequency of skin contact with the contamination?</t>
  </si>
  <si>
    <t>What kind of skin contact occurs?</t>
  </si>
  <si>
    <t>What is the level of automation of the task?</t>
  </si>
  <si>
    <t>Do significant amounts of aerosols occur?</t>
  </si>
  <si>
    <t>Application rate of product (L/min or kg/min)</t>
  </si>
  <si>
    <t>Fillmixload_percentileratebody</t>
  </si>
  <si>
    <t>Fillmixload_digitpercentileratebody</t>
  </si>
  <si>
    <t>Fillmixload_medianloadinghands</t>
  </si>
  <si>
    <t>Fillmixload_digitmedianloadinghands</t>
  </si>
  <si>
    <t>Fillmixload_medianloadingbody</t>
  </si>
  <si>
    <t>Fillmixload_digitmedianloadingbody</t>
  </si>
  <si>
    <t>Fillmixload_percentileloadinghands</t>
  </si>
  <si>
    <t>Fillmixload_digitpercentileloadinghands</t>
  </si>
  <si>
    <t>Fillmixload_percentileloadingbody</t>
  </si>
  <si>
    <t>Fillmixload_digitpercentileloadingbody</t>
  </si>
  <si>
    <t>Fillmixload_orientation_a</t>
  </si>
  <si>
    <t>Fillmixload_orientation_b</t>
  </si>
  <si>
    <t>Fillmixload_orientation_c</t>
  </si>
  <si>
    <t>Fillmixload_proximity_a</t>
  </si>
  <si>
    <t>Fillmixload_proximity_b</t>
  </si>
  <si>
    <t>Fillmixload_proximity_c</t>
  </si>
  <si>
    <t>Fillmixload-lnapplicationrate</t>
  </si>
  <si>
    <t>Fillmixload_volatilitya</t>
  </si>
  <si>
    <t>Fillmixload_volatilityb</t>
  </si>
  <si>
    <t>Fillmixload_volatilityc</t>
  </si>
  <si>
    <t>Fillmixload_viscositya</t>
  </si>
  <si>
    <t>Fillmixload_viscosityb</t>
  </si>
  <si>
    <t>Fillmixload_viscosityc</t>
  </si>
  <si>
    <t>Fillmixload_directionairflowa</t>
  </si>
  <si>
    <t>Fillmixload_directionairflowb</t>
  </si>
  <si>
    <t>Fillmixload_directionairflowc</t>
  </si>
  <si>
    <t>Fillmixload_ventilationa</t>
  </si>
  <si>
    <t>Fillmixload_ventilationb</t>
  </si>
  <si>
    <t>Fillmixload_ventilationc</t>
  </si>
  <si>
    <t>Fillmixload_physicalstatea</t>
  </si>
  <si>
    <t>Fillmixload_physicalstateb</t>
  </si>
  <si>
    <t>Fillmixload_physicalstatec</t>
  </si>
  <si>
    <t>Fillmixload_contactfrequencya</t>
  </si>
  <si>
    <t>Fillmixload_contactfrequencyb</t>
  </si>
  <si>
    <t>Fillmixload_contactfrequencyc</t>
  </si>
  <si>
    <t>Fillmixload_unita</t>
  </si>
  <si>
    <t>Fillmixload_unitb</t>
  </si>
  <si>
    <t>Fillmixload_unit2a</t>
  </si>
  <si>
    <t>Fillmixload_unit2b</t>
  </si>
  <si>
    <t>Fillmixload_conttype_opa</t>
  </si>
  <si>
    <t>Fillmixload_conttype_opb</t>
  </si>
  <si>
    <t>Fillmixload_aerosol_opa</t>
  </si>
  <si>
    <t>Fillmixload_aerosol_opb</t>
  </si>
  <si>
    <t>Fillmixload_automationa</t>
  </si>
  <si>
    <t>Fillmixload_automationb</t>
  </si>
  <si>
    <t>Wiping_orientationa</t>
  </si>
  <si>
    <t>Wiping_orientationb</t>
  </si>
  <si>
    <t>Wiping_orientationc</t>
  </si>
  <si>
    <t>Wiping_proximitya</t>
  </si>
  <si>
    <t>Wiping_proximityb</t>
  </si>
  <si>
    <t>Wiping_proximityc</t>
  </si>
  <si>
    <t>Wiping_volatilitya</t>
  </si>
  <si>
    <t>Wiping_volatilityb</t>
  </si>
  <si>
    <t>Wiping_volatilityc</t>
  </si>
  <si>
    <t>Wiping_viscositya</t>
  </si>
  <si>
    <t>Wiping_viscosityb</t>
  </si>
  <si>
    <t>Wiping_viscosityc</t>
  </si>
  <si>
    <t>Wiping_directionairflowa</t>
  </si>
  <si>
    <t>Wiping_directionairflowb</t>
  </si>
  <si>
    <t>Wiping_directionairflowc</t>
  </si>
  <si>
    <t>Wiping_ventilationa</t>
  </si>
  <si>
    <t>Wiping_ventilationb</t>
  </si>
  <si>
    <t>Wiping_ventilationc</t>
  </si>
  <si>
    <t>Wiping_bodyeffecta</t>
  </si>
  <si>
    <t>Wiping_bodyeffectb</t>
  </si>
  <si>
    <t>Wiping_extensivebodycontacta</t>
  </si>
  <si>
    <t>Wiping_extensivebodycontactb</t>
  </si>
  <si>
    <t>Wiping_physicalstatea</t>
  </si>
  <si>
    <t>Wiping_physicalstateb</t>
  </si>
  <si>
    <t>Wiping_physicalstatec</t>
  </si>
  <si>
    <t>Wiping_contactfrequencya</t>
  </si>
  <si>
    <t>Wiping_contactfrequencyb</t>
  </si>
  <si>
    <t>Wiping_contactfrequencyc</t>
  </si>
  <si>
    <t>Wiping_unita</t>
  </si>
  <si>
    <t>Wiping_unitb</t>
  </si>
  <si>
    <t>Wiping_unit2a</t>
  </si>
  <si>
    <t>Wiping_unit2b</t>
  </si>
  <si>
    <t>What is the use rate of the product?</t>
  </si>
  <si>
    <t>Body loading (mg)</t>
  </si>
  <si>
    <t>Application rates</t>
  </si>
  <si>
    <t>above 0.22 L/min</t>
  </si>
  <si>
    <t xml:space="preserve">occurred for up to </t>
  </si>
  <si>
    <t>20 min only</t>
  </si>
  <si>
    <t>as basis for model</t>
  </si>
  <si>
    <t>default 0,5*mean appl.rate ~ 0,122</t>
  </si>
  <si>
    <t>Wiping_warningapplicationrate</t>
  </si>
  <si>
    <t>"Input for application range may be outside of range used for modelling"</t>
  </si>
  <si>
    <r>
      <t xml:space="preserve">This only refers to extensive contact of the </t>
    </r>
    <r>
      <rPr>
        <sz val="10"/>
        <color indexed="12"/>
        <rFont val="Arial"/>
        <family val="2"/>
      </rPr>
      <t>body</t>
    </r>
    <r>
      <rPr>
        <sz val="10"/>
        <rFont val="Arial"/>
        <family val="0"/>
      </rPr>
      <t>, not of the hands!</t>
    </r>
  </si>
  <si>
    <r>
      <t xml:space="preserve">What is the </t>
    </r>
    <r>
      <rPr>
        <sz val="10"/>
        <color indexed="12"/>
        <rFont val="Arial"/>
        <family val="2"/>
      </rPr>
      <t>mean</t>
    </r>
    <r>
      <rPr>
        <sz val="10"/>
        <rFont val="Arial"/>
        <family val="0"/>
      </rPr>
      <t xml:space="preserve"> of the application rate of the product?</t>
    </r>
  </si>
  <si>
    <r>
      <t xml:space="preserve">What is the </t>
    </r>
    <r>
      <rPr>
        <sz val="10"/>
        <color indexed="12"/>
        <rFont val="Arial"/>
        <family val="2"/>
      </rPr>
      <t>standard deviation</t>
    </r>
    <r>
      <rPr>
        <sz val="10"/>
        <rFont val="Arial"/>
        <family val="0"/>
      </rPr>
      <t xml:space="preserve"> of the application rate?</t>
    </r>
  </si>
  <si>
    <r>
      <t xml:space="preserve">What is the </t>
    </r>
    <r>
      <rPr>
        <sz val="10"/>
        <color indexed="12"/>
        <rFont val="Arial"/>
        <family val="2"/>
      </rPr>
      <t>mean</t>
    </r>
    <r>
      <rPr>
        <sz val="10"/>
        <rFont val="Arial"/>
        <family val="0"/>
      </rPr>
      <t xml:space="preserve"> cumulative duration of the scenario during a shift?</t>
    </r>
  </si>
  <si>
    <r>
      <t xml:space="preserve">What is the </t>
    </r>
    <r>
      <rPr>
        <sz val="10"/>
        <color indexed="12"/>
        <rFont val="Arial"/>
        <family val="2"/>
      </rPr>
      <t>standard deviation</t>
    </r>
    <r>
      <rPr>
        <sz val="10"/>
        <rFont val="Arial"/>
        <family val="0"/>
      </rPr>
      <t xml:space="preserve"> of the cumulative duration of the scenario during a shift?</t>
    </r>
  </si>
  <si>
    <t>minimum</t>
  </si>
  <si>
    <t>maximum</t>
  </si>
  <si>
    <t>mean</t>
  </si>
  <si>
    <t>sd</t>
  </si>
  <si>
    <t>percentileh</t>
  </si>
  <si>
    <t>percentilel</t>
  </si>
  <si>
    <t>perhog</t>
  </si>
  <si>
    <t>perlaag</t>
  </si>
  <si>
    <t>values used for calculations</t>
  </si>
  <si>
    <t>Question</t>
  </si>
  <si>
    <t>Answer</t>
  </si>
  <si>
    <t>result</t>
  </si>
  <si>
    <t>Percentile for the exposure rate distribution to be assessed</t>
  </si>
  <si>
    <t>percentile</t>
  </si>
  <si>
    <t>median</t>
  </si>
  <si>
    <t xml:space="preserve"> percentile  distribution</t>
  </si>
  <si>
    <t>What is the cumulative duration of spraying during a shift?</t>
  </si>
  <si>
    <t>minutes</t>
  </si>
  <si>
    <t>Exposure loading per shift body</t>
  </si>
  <si>
    <t>What is the distance of the worker to the source?</t>
  </si>
  <si>
    <t>Model for (mechanical) treatment of solid objects (DEO unit 6)</t>
  </si>
  <si>
    <t>Liquid</t>
  </si>
  <si>
    <t>More than arm's length</t>
  </si>
  <si>
    <t>Frequent or constant contact</t>
  </si>
  <si>
    <t>μL/min</t>
  </si>
  <si>
    <t>Model for spray application (DEO unit 4)</t>
  </si>
  <si>
    <t>Where is spray application done?</t>
  </si>
  <si>
    <t>Outdoors</t>
  </si>
  <si>
    <t>Is spraying done overhead, level or downward?</t>
  </si>
  <si>
    <t>Downward</t>
  </si>
  <si>
    <t>What is the direction of airflow that comes from the source?</t>
  </si>
  <si>
    <t>Not clearly away from the worker</t>
  </si>
  <si>
    <t>Is the worker segregated from the source?</t>
  </si>
  <si>
    <t>No</t>
  </si>
  <si>
    <t>Up to 1 meter</t>
  </si>
  <si>
    <t>What is the volatility of the carrier liquid?</t>
  </si>
  <si>
    <t>Not highly volatile</t>
  </si>
  <si>
    <t>Changes compared to version 2.0 of the model</t>
  </si>
  <si>
    <t xml:space="preserve">Version 2.1 contains the improvements made after the evaluation of the correct flow of the model and the correctness of the texts in the model. </t>
  </si>
  <si>
    <t>All changes made are described in the document "Verbeterpunten RiskOfDerm 2.0.doc" (in Dutch).</t>
  </si>
  <si>
    <t>More relevant changes are:</t>
  </si>
  <si>
    <t>► In the input sheet for "Dispersion" the results now are rounded to three digits also for the loading values</t>
  </si>
  <si>
    <t>► The graph in the "overview results" sheet for "dispersion" now has a wider Y-axes to allow the lines for rates to be plotted in the graph</t>
  </si>
  <si>
    <t>Several changes were made, generally to correct (textual) errors. Example: in the input sheet on Immersion, one of the questions mentioned "spraying" instead of "immersion".</t>
  </si>
  <si>
    <t>These comparisons (for two or three sets of inputs per DEO Unit) showed only very minor (rounding) differences at the last digits of some of the calculated percentiles (differences &lt;&lt; 1%).</t>
  </si>
  <si>
    <t>It was concluded that the calculations were correct.</t>
  </si>
  <si>
    <t>Validation of the calculations of the spreadsheet</t>
  </si>
  <si>
    <t>Spreadsheet results were compared with calculations with the same input values using a pocket calculator and the equations taken directly from Warren et al. (2006).</t>
  </si>
  <si>
    <t>for a brief description of changes after version 1.0 and for some information on the validity ranges of the model</t>
  </si>
  <si>
    <t>Is the product sprayed a liquid or a solid?</t>
  </si>
  <si>
    <t>What is the application rate of the product?</t>
  </si>
  <si>
    <t>L/min or Kg/min</t>
  </si>
  <si>
    <t>Exposure loading per shift hands</t>
  </si>
  <si>
    <t>Model for mechanical immersion of objects in liquid baths (DEO unit 5)</t>
  </si>
  <si>
    <t>From 30 cm to 1 meter</t>
  </si>
  <si>
    <t>Is adequate local exhaust ventilation used?</t>
  </si>
  <si>
    <t>μL</t>
  </si>
  <si>
    <t>What is the viscosity of the product applied?</t>
  </si>
  <si>
    <t>Viscosity like syrup or honey</t>
  </si>
  <si>
    <t>What kind of tools are used for application?</t>
  </si>
  <si>
    <t>Tools with handles &lt; 30 cm in length</t>
  </si>
  <si>
    <t>L/min</t>
  </si>
  <si>
    <t>Resulting exposure rate hands</t>
  </si>
  <si>
    <t>Resulting exposure rate body</t>
  </si>
  <si>
    <t>options</t>
  </si>
  <si>
    <t>Does the body have extensive contact with freshly wiped surfaces?</t>
  </si>
  <si>
    <t>Yes</t>
  </si>
  <si>
    <t>Resulting exposure rate hands (median)</t>
  </si>
  <si>
    <t>Resulting exposure rate body (median)</t>
  </si>
  <si>
    <t>GSD</t>
  </si>
  <si>
    <t>DEO 1</t>
  </si>
  <si>
    <t>DEO 2</t>
  </si>
  <si>
    <t>DEO 3</t>
  </si>
  <si>
    <t>DEO 4</t>
  </si>
  <si>
    <t>DEO 5</t>
  </si>
  <si>
    <t>DEO 6</t>
  </si>
  <si>
    <t>name</t>
  </si>
  <si>
    <t>description</t>
  </si>
  <si>
    <t>nameoptions</t>
  </si>
  <si>
    <t>Intercept</t>
  </si>
  <si>
    <t>Orientation</t>
  </si>
  <si>
    <t>bodyeffect</t>
  </si>
  <si>
    <t>handeffect</t>
  </si>
  <si>
    <t>4-483 minutes</t>
  </si>
  <si>
    <t>Mechanical_treatment_GSD</t>
  </si>
  <si>
    <t>Mechanical_treatment_orientation1</t>
  </si>
  <si>
    <t>Mechanical_treatment_orientationa</t>
  </si>
  <si>
    <t>Mechanical_treatment_orientation2</t>
  </si>
  <si>
    <t>Mechanical_treatment_orientationb</t>
  </si>
  <si>
    <t>Mechanical_treatment_orientation3</t>
  </si>
  <si>
    <t>Mechanical_treatment_orientationc</t>
  </si>
  <si>
    <t>Mechanical_treatment_proximity1</t>
  </si>
  <si>
    <t>Mechanical_treatment_proximitya</t>
  </si>
  <si>
    <t>Mechanical_treatment_proximity2</t>
  </si>
  <si>
    <t>Mechanical_treatment_proximityb</t>
  </si>
  <si>
    <t>Mechanical_treatment_proximity3</t>
  </si>
  <si>
    <t>Mechanical_treatment_proximityc</t>
  </si>
  <si>
    <t>Mechanical_treatment_volatility1</t>
  </si>
  <si>
    <t>Mechanical_treatment_volatilitya</t>
  </si>
  <si>
    <t>Mechanical_treatment_volatility2</t>
  </si>
  <si>
    <t>Mechanical_treatment_volatilityb</t>
  </si>
  <si>
    <t>Mechanical_treatment_volatility3</t>
  </si>
  <si>
    <t>Mechanical_treatment_volatilityc</t>
  </si>
  <si>
    <t>Mechanical_treatment_viscosity1</t>
  </si>
  <si>
    <t xml:space="preserve">Look at sheet </t>
  </si>
  <si>
    <t xml:space="preserve">Explanation </t>
  </si>
  <si>
    <t>for a brief explanation of how to work with this model</t>
  </si>
  <si>
    <t>Changes and validity</t>
  </si>
  <si>
    <t>Mechanical_treatment_viscositya</t>
  </si>
  <si>
    <t>Mechanical_treatment_viscosity2</t>
  </si>
  <si>
    <t>Mechanical_treatment_viscosityb</t>
  </si>
  <si>
    <t>Mechanical_treatment_viscosity3</t>
  </si>
  <si>
    <t>Mechanical_treatment_viscosityc</t>
  </si>
  <si>
    <t>Mechanical_treatment_directionairflow1</t>
  </si>
  <si>
    <t>Mechanical_treatment_directionairflowa</t>
  </si>
  <si>
    <t>Model was based on values up to 257 L/min for liquids!</t>
  </si>
  <si>
    <t>Model was based on values up to 225 kg/min for powders!</t>
  </si>
  <si>
    <r>
      <t>Hands rate (</t>
    </r>
    <r>
      <rPr>
        <b/>
        <sz val="10"/>
        <rFont val="Arial"/>
        <family val="2"/>
      </rPr>
      <t>μ</t>
    </r>
    <r>
      <rPr>
        <b/>
        <sz val="10"/>
        <rFont val="Arial"/>
        <family val="2"/>
      </rPr>
      <t>L/min or mg/min)</t>
    </r>
  </si>
  <si>
    <t>Hands loading (μL or mg)</t>
  </si>
  <si>
    <t>Mechanical_treatment_directionairflow2</t>
  </si>
  <si>
    <t>Mechanical_treatment_directionairflowb</t>
  </si>
  <si>
    <t>Mechanical_treatment_directionairflow3</t>
  </si>
  <si>
    <t>Mechanical_treatment_directionairflowc</t>
  </si>
  <si>
    <t>Mechanical_treatment_ventilation1</t>
  </si>
  <si>
    <t>Mechanical_treatment_ventilationa</t>
  </si>
  <si>
    <t>Mechanical_treatment_ventilation2</t>
  </si>
  <si>
    <t>Mechanical_treatment_ventilationb</t>
  </si>
  <si>
    <t>Mechanical_treatment_ventilation3</t>
  </si>
  <si>
    <t>Mechanical_treatment_ventilationc</t>
  </si>
  <si>
    <t>Mechanical_treatment_bodyeffect</t>
  </si>
  <si>
    <t>Mechanical_treatment_handeffect</t>
  </si>
  <si>
    <t>Mechanical_treatment_powerbody</t>
  </si>
  <si>
    <t>Mechanical_treatment_powerhand</t>
  </si>
  <si>
    <t>Mechanical_treatment_physicalstate1</t>
  </si>
  <si>
    <t>Mechanical_treatment_physicalstatea</t>
  </si>
  <si>
    <t>Mechanical_treatment_physicalstate2</t>
  </si>
  <si>
    <t>Mechanical_treatment_physicalstateb</t>
  </si>
  <si>
    <t>Mechanical_treatment_physicalstate3</t>
  </si>
  <si>
    <t>Mechanical_treatment_physicalstatec</t>
  </si>
  <si>
    <t>Mechanical_treatment_contactfrequency1</t>
  </si>
  <si>
    <t>Mechanical_treatment_contactfrequencya</t>
  </si>
  <si>
    <t>Mechanical_treatment_contactfrequency2</t>
  </si>
  <si>
    <t>Mechanical_treatment_contactfrequencyb</t>
  </si>
  <si>
    <t>Mechanical_treatment_contactfrequency3</t>
  </si>
  <si>
    <t>Mechanical_treatment_contactfrequencyc</t>
  </si>
  <si>
    <t>Mechanical_treatment_unit21</t>
  </si>
  <si>
    <t>Mechanical_treatment_unit2a</t>
  </si>
  <si>
    <t>Mechanical_treatment_unit22</t>
  </si>
  <si>
    <t>Mechanical_treatment_unit2b</t>
  </si>
  <si>
    <t>Mechanical_treatement_intercept</t>
  </si>
  <si>
    <t>Mechanical_treatment_medianratehands</t>
  </si>
  <si>
    <t>Mechanical_treatment_digitmedianratehands</t>
  </si>
  <si>
    <t>Mechanical_treatment_medianhandsraterounded</t>
  </si>
  <si>
    <t>Mechanical_treatment_medianratebody</t>
  </si>
  <si>
    <t>Mechanical_treatment_digitmedianratebody</t>
  </si>
  <si>
    <t>Mechanical_treatment_medianbodyraterounded</t>
  </si>
  <si>
    <t>Mechanical_treatment_percentileratehands</t>
  </si>
  <si>
    <t>Mechanical_treatment_digitpercentileratehands</t>
  </si>
  <si>
    <t>Mechanical_treatment_percentilehandsraterounded</t>
  </si>
  <si>
    <t>Mechanical_treatment_percentileratebody</t>
  </si>
  <si>
    <t>Mechanical_treatment_digitpercentileratebody</t>
  </si>
  <si>
    <t>Mechanical_treatment_percentilebodyraterounded</t>
  </si>
  <si>
    <t>Mechanical_treatment_medianloadinghands</t>
  </si>
  <si>
    <t>Mechanical_treatment_digitmedianloadinghands</t>
  </si>
  <si>
    <t>Mechanical_treatment_medianhandsloadingrounded</t>
  </si>
  <si>
    <t>Mechanical_treatment_medianloadingbody</t>
  </si>
  <si>
    <t>Mechanical_treatment_digitmedianloadingbody</t>
  </si>
  <si>
    <t>Mechanical_treatment_medianbodyloadingrounded</t>
  </si>
  <si>
    <t>Mechanical_treatment_percentileloadinghands</t>
  </si>
  <si>
    <t>Mechanical_treatment_digitpercentileloadinghands</t>
  </si>
  <si>
    <t>Mechanical_treatment_percentilehandsloadingrounded</t>
  </si>
  <si>
    <t>Mechanical_treatment_percentileloadingbody</t>
  </si>
  <si>
    <t>Mechanical_treatment_digitpercentileloadingbody</t>
  </si>
  <si>
    <t>Mechanical_treatment_percentilebodyloadingrounded</t>
  </si>
  <si>
    <t>Mechanical_treatment_unit11</t>
  </si>
  <si>
    <t>Mechanical_treatment_unit12</t>
  </si>
  <si>
    <t>Mechanical_treatment_unit1a</t>
  </si>
  <si>
    <t>Mechanical_treatment_unit1b</t>
  </si>
  <si>
    <t>Immersion refers to:</t>
  </si>
  <si>
    <t>Mechanical treatment refers to:</t>
  </si>
  <si>
    <t>Immersing objects in chemicals, where the exposure is to the chemicals</t>
  </si>
  <si>
    <t>in which the product is immersed and not to substances coming from the object.</t>
  </si>
  <si>
    <t>This relates to substances emitted from the solid objects, e.g. wood dust,</t>
  </si>
  <si>
    <t>but also to substances used in the process of treatment, e.g. metal working fluids.</t>
  </si>
  <si>
    <t>treatment of solid objects leading to emission of substances.</t>
  </si>
  <si>
    <t>Digitfind</t>
  </si>
  <si>
    <t>Level</t>
  </si>
  <si>
    <t>Overhead</t>
  </si>
  <si>
    <t>Proximity</t>
  </si>
  <si>
    <t>More than 1 meter</t>
  </si>
  <si>
    <t>Less than 30 cm</t>
  </si>
  <si>
    <t>Less than or about arm's length</t>
  </si>
  <si>
    <t>Application rate</t>
  </si>
  <si>
    <t>Volatility</t>
  </si>
  <si>
    <t>Highly volatile</t>
  </si>
  <si>
    <t>Viscosity</t>
  </si>
  <si>
    <t>Viscosity like water</t>
  </si>
  <si>
    <t>Viscosity like oil</t>
  </si>
  <si>
    <t>Directionairflow</t>
  </si>
  <si>
    <t>Away from the worker</t>
  </si>
  <si>
    <t>Ventilation</t>
  </si>
  <si>
    <t>Bodyeffect</t>
  </si>
  <si>
    <t>Handeffect</t>
  </si>
  <si>
    <t>Powerbody</t>
  </si>
  <si>
    <t>Powerhand</t>
  </si>
  <si>
    <t>Physicalstate</t>
  </si>
  <si>
    <t>4-90 min. for solids; 3-600 min. for liquids</t>
  </si>
  <si>
    <t>Immersion_intercept</t>
  </si>
  <si>
    <t>Immersion_GSD</t>
  </si>
  <si>
    <t>Immersion_orientation1</t>
  </si>
  <si>
    <t>Immersion_orientationa</t>
  </si>
  <si>
    <t>Immersion_orientation2</t>
  </si>
  <si>
    <t>Immersion_orientationb</t>
  </si>
  <si>
    <t>Immersion_orientation3</t>
  </si>
  <si>
    <t>Immersion_orientationc</t>
  </si>
  <si>
    <t>Immersion_proximity1</t>
  </si>
  <si>
    <t>Immersion_proximitya</t>
  </si>
  <si>
    <t>Immersion_proximity2</t>
  </si>
  <si>
    <t>Immersion_proximityb</t>
  </si>
  <si>
    <t>Immersion_proximity3</t>
  </si>
  <si>
    <t>Immersion_proximityc</t>
  </si>
  <si>
    <t>Immersion_volatility1</t>
  </si>
  <si>
    <t>Immersion_volatilitya</t>
  </si>
  <si>
    <t>Immersion_volatility2</t>
  </si>
  <si>
    <t>Immersion_volatilityb</t>
  </si>
  <si>
    <t>Immersion_volatility3</t>
  </si>
  <si>
    <t>Immersion_volatilityc</t>
  </si>
  <si>
    <t>Immersion_viscosity1</t>
  </si>
  <si>
    <t>Immersion_viscositya</t>
  </si>
  <si>
    <t>Immersion_viscosity2</t>
  </si>
  <si>
    <t>Immersion_viscosityb</t>
  </si>
  <si>
    <t>Immersion_viscosity3</t>
  </si>
  <si>
    <t>Immersion_viscosityc</t>
  </si>
  <si>
    <t>Immersion_directionairflow1</t>
  </si>
  <si>
    <t>Immersion_directionairflowa</t>
  </si>
  <si>
    <t>Immersion_directionairflow2</t>
  </si>
  <si>
    <t>Immersion_directionairflowb</t>
  </si>
  <si>
    <t>Immersion_directionairflow3</t>
  </si>
  <si>
    <t>Immersion_directionairflowc</t>
  </si>
  <si>
    <t>Immersion_ventilation1</t>
  </si>
  <si>
    <t>Immersion_ventilationa</t>
  </si>
  <si>
    <t>Immersion_ventilation2</t>
  </si>
  <si>
    <t>Immersion_ventilationb</t>
  </si>
  <si>
    <t>Immersion_ventilation3</t>
  </si>
  <si>
    <t>Immersion_ventilationc</t>
  </si>
  <si>
    <t>Immersion_bodyeffect</t>
  </si>
  <si>
    <t>Immersion_handeffect</t>
  </si>
  <si>
    <t>Immersion_powerbody</t>
  </si>
  <si>
    <t>Immersion_powerhand</t>
  </si>
  <si>
    <t>Immersion_physicalstate1</t>
  </si>
  <si>
    <t>Immersion_physicalstatea</t>
  </si>
  <si>
    <t>Immersion_physicalstate2</t>
  </si>
  <si>
    <t>Immersion_physicalstateb</t>
  </si>
  <si>
    <t>Immersion_physicalstate3</t>
  </si>
  <si>
    <t>Immersion_physicalstatec</t>
  </si>
  <si>
    <t>Immersion_contactfrequency1</t>
  </si>
  <si>
    <t>Immersion_contactfrequencya</t>
  </si>
  <si>
    <t>Immersion_contactfrequency2</t>
  </si>
  <si>
    <t>Immersion_contactfrequencyb</t>
  </si>
  <si>
    <t>Immersion_contactfrequency3</t>
  </si>
  <si>
    <t>Immersion_contactfrequencyc</t>
  </si>
  <si>
    <t>Immersion_unit1</t>
  </si>
  <si>
    <t>Immersion_unita</t>
  </si>
  <si>
    <t>Immersion_unit2</t>
  </si>
  <si>
    <t>Immersion_unitb</t>
  </si>
  <si>
    <t>Immersion_unit21</t>
  </si>
  <si>
    <t>Immersion_unit2a</t>
  </si>
  <si>
    <t>Immersion_unit22</t>
  </si>
  <si>
    <t>Immersion_unit2b</t>
  </si>
  <si>
    <t>Immersion_GSDbody</t>
  </si>
  <si>
    <t>Immersion_GSDhands</t>
  </si>
  <si>
    <t>Immersion_medianratehands</t>
  </si>
  <si>
    <t>Immersion_digitmedianratehands</t>
  </si>
  <si>
    <t>Immersion_medianhandsraterounded</t>
  </si>
  <si>
    <t>Immersion_medianratebody</t>
  </si>
  <si>
    <t>Immersion_digitmedianratebody</t>
  </si>
  <si>
    <t>Immersion_medianbodyraterounded</t>
  </si>
  <si>
    <t>Immersion_percentileratehands</t>
  </si>
  <si>
    <t>Immersion_digitpercentileratehands</t>
  </si>
  <si>
    <t>Immersion_percentilehandsraterounded</t>
  </si>
  <si>
    <t>Immersion_percentileratebody</t>
  </si>
  <si>
    <t>Immersion_digitpercentileratebody</t>
  </si>
  <si>
    <t>Immersion_percentilebodyraterounded</t>
  </si>
  <si>
    <t>Immersion_medianloadinghands</t>
  </si>
  <si>
    <t>Immersion_digitmedianloadinghands</t>
  </si>
  <si>
    <t>Immersion_medianhandsloadingrounded</t>
  </si>
  <si>
    <t>Immersion_medianloadingbody</t>
  </si>
  <si>
    <t>Immersion_digitmedianloadingbody</t>
  </si>
  <si>
    <t>Immersion_medianbodyloadingrounded</t>
  </si>
  <si>
    <t>Immersion_percentileloadinghands</t>
  </si>
  <si>
    <t>Immersion_digitpercentileloadinghands</t>
  </si>
  <si>
    <t>Immersion_percentilehandsloadingrounded</t>
  </si>
  <si>
    <t>Immersion_percentileloadingbody</t>
  </si>
  <si>
    <t>Immersion_digitpercentileloadingbody</t>
  </si>
  <si>
    <t>Immersion_percentilebodyloadingrounded</t>
  </si>
  <si>
    <t>Solid</t>
  </si>
  <si>
    <t>Contact frequency</t>
  </si>
  <si>
    <t>Rare or irregular contact</t>
  </si>
  <si>
    <t>Unit</t>
  </si>
  <si>
    <t>mg/min</t>
  </si>
  <si>
    <t>Unit2</t>
  </si>
  <si>
    <t>mg</t>
  </si>
  <si>
    <t>Indoors/outdoors</t>
  </si>
  <si>
    <t>Indoors</t>
  </si>
  <si>
    <t>Segregation</t>
  </si>
  <si>
    <t>Tools with handles &gt; 30 cm in length</t>
  </si>
  <si>
    <t>Level or overhead</t>
  </si>
  <si>
    <t>Poor ventilation</t>
  </si>
  <si>
    <t>Normal or good ventilation</t>
  </si>
  <si>
    <t>Type of contact</t>
  </si>
  <si>
    <t>Spraying_medianratehands</t>
  </si>
  <si>
    <t>Spraying_medianratebody</t>
  </si>
  <si>
    <t>Spraying_percentileratehands</t>
  </si>
  <si>
    <t>Spraying_percentileratebody</t>
  </si>
  <si>
    <t>Spraying_medianloadinghands</t>
  </si>
  <si>
    <t>Spraying_medianloadingbody</t>
  </si>
  <si>
    <t>Spraying_percentileloadinghands</t>
  </si>
  <si>
    <t>Spraying_percentileloadingbody</t>
  </si>
  <si>
    <t>Spraying_digitmedianratehands</t>
  </si>
  <si>
    <t>Spraying_digitmedianratebody</t>
  </si>
  <si>
    <t>Spraying_digitpercentileratehands</t>
  </si>
  <si>
    <t>Spraying_digitpercentileratebody</t>
  </si>
  <si>
    <t>Spraying_digitmedianloadinghands</t>
  </si>
  <si>
    <t>Spraying_digitmedianloadingbody</t>
  </si>
  <si>
    <t>Spraying_digitpercentileloadinghands</t>
  </si>
  <si>
    <t>Spraying_digitpercentileloadingbody</t>
  </si>
  <si>
    <t>Spraying_medianhandsraterounded</t>
  </si>
  <si>
    <t>Spraying_medianbodyraterounded</t>
  </si>
  <si>
    <t>Spraying_percentilehandsraterounded</t>
  </si>
  <si>
    <t>Spraying_percentilebodyraterounded</t>
  </si>
  <si>
    <t>Spraying_medianhandsloadingrounded</t>
  </si>
  <si>
    <t>Spraying_medianbodyloadingrounded</t>
  </si>
  <si>
    <t>Spraying_percentilehandsloadingrounded</t>
  </si>
  <si>
    <t>Spraying_percentilebodyloadingrounded</t>
  </si>
  <si>
    <t>Where is the spray application done?</t>
  </si>
  <si>
    <t>How far is the source from the worker</t>
  </si>
  <si>
    <t>What is the quality of the ventilation related to the task done?</t>
  </si>
  <si>
    <t>What is the frequency of (skin) contact with the contaminant?</t>
  </si>
  <si>
    <t>What kind of (skin) contact with the contaminant occurs?</t>
  </si>
  <si>
    <t>Light contact</t>
  </si>
  <si>
    <t>Rare contact</t>
  </si>
  <si>
    <t>More than rare contact</t>
  </si>
  <si>
    <t>What is the cumulative duration of the scenario during a shift?</t>
  </si>
  <si>
    <t>Is application done downward or level or overhead?</t>
  </si>
  <si>
    <t>Additional explanation</t>
  </si>
  <si>
    <t>What is the frequency of contacts between worker and the contamination during the task?</t>
  </si>
  <si>
    <t>How far is the source from the  worker?</t>
  </si>
  <si>
    <t>This only refers to extensive contact of the body, not of the hands!</t>
  </si>
  <si>
    <t>What is the physical state of the product or substance assessed?</t>
  </si>
  <si>
    <t>Scroll down to see the remainder!</t>
  </si>
  <si>
    <t>What type of product is handled?</t>
  </si>
  <si>
    <t>Are significant amounts of aerosols or splashes generated in the task?</t>
  </si>
  <si>
    <t>Low or moderately dusty solid</t>
  </si>
  <si>
    <t>Highly dusty solid</t>
  </si>
  <si>
    <t>Aerosols</t>
  </si>
  <si>
    <t>What is the level of automation of the task done by the worker?</t>
  </si>
  <si>
    <t>Automation</t>
  </si>
  <si>
    <t>Manual task</t>
  </si>
  <si>
    <t>Automated or semi-automated task</t>
  </si>
  <si>
    <t>μL/min or mg/min</t>
  </si>
  <si>
    <t>μL or mg</t>
  </si>
  <si>
    <r>
      <t xml:space="preserve">A potential dermal exposure rate </t>
    </r>
    <r>
      <rPr>
        <b/>
        <sz val="10"/>
        <rFont val="Arial"/>
        <family val="2"/>
      </rPr>
      <t>distribution</t>
    </r>
    <r>
      <rPr>
        <sz val="10"/>
        <rFont val="Arial"/>
        <family val="2"/>
      </rPr>
      <t xml:space="preserve"> is estimated from the given input values.  The </t>
    </r>
    <r>
      <rPr>
        <b/>
        <sz val="10"/>
        <rFont val="Arial"/>
        <family val="2"/>
      </rPr>
      <t>median</t>
    </r>
    <r>
      <rPr>
        <sz val="10"/>
        <rFont val="Arial"/>
        <family val="2"/>
      </rPr>
      <t xml:space="preserve"> is always presented, another </t>
    </r>
    <r>
      <rPr>
        <b/>
        <sz val="10"/>
        <rFont val="Arial"/>
        <family val="2"/>
      </rPr>
      <t>percentile</t>
    </r>
    <r>
      <rPr>
        <sz val="10"/>
        <rFont val="Arial"/>
        <family val="2"/>
      </rPr>
      <t xml:space="preserve"> can be chosen.</t>
    </r>
  </si>
  <si>
    <t>What is the viscosity of the product applied</t>
  </si>
  <si>
    <r>
      <t xml:space="preserve">These models primarily estimate the </t>
    </r>
    <r>
      <rPr>
        <b/>
        <sz val="10"/>
        <rFont val="Arial"/>
        <family val="2"/>
      </rPr>
      <t>potential dermal exposure rate</t>
    </r>
    <r>
      <rPr>
        <sz val="10"/>
        <rFont val="Arial"/>
        <family val="2"/>
      </rPr>
      <t xml:space="preserve"> (mg/min or </t>
    </r>
    <r>
      <rPr>
        <sz val="10"/>
        <rFont val="Arial"/>
        <family val="0"/>
      </rPr>
      <t xml:space="preserve">μL/min) belonging to a specific scenario or task </t>
    </r>
    <r>
      <rPr>
        <sz val="10"/>
        <rFont val="Arial"/>
        <family val="2"/>
      </rPr>
      <t>of hands and the rest of the body.</t>
    </r>
  </si>
  <si>
    <r>
      <t xml:space="preserve">Fill the </t>
    </r>
    <r>
      <rPr>
        <b/>
        <sz val="10"/>
        <rFont val="Arial"/>
        <family val="2"/>
      </rPr>
      <t>yellow</t>
    </r>
    <r>
      <rPr>
        <sz val="10"/>
        <rFont val="Arial"/>
        <family val="0"/>
      </rPr>
      <t xml:space="preserve"> input fields.</t>
    </r>
  </si>
  <si>
    <r>
      <t xml:space="preserve">Choose a </t>
    </r>
    <r>
      <rPr>
        <b/>
        <sz val="10"/>
        <rFont val="Arial"/>
        <family val="2"/>
      </rPr>
      <t>percentile</t>
    </r>
    <r>
      <rPr>
        <sz val="10"/>
        <rFont val="Arial"/>
        <family val="0"/>
      </rPr>
      <t xml:space="preserve"> in the </t>
    </r>
    <r>
      <rPr>
        <b/>
        <sz val="10"/>
        <rFont val="Arial"/>
        <family val="2"/>
      </rPr>
      <t>orange</t>
    </r>
    <r>
      <rPr>
        <sz val="10"/>
        <rFont val="Arial"/>
        <family val="0"/>
      </rPr>
      <t xml:space="preserve"> input field (high percentiles present conservative estimates).</t>
    </r>
  </si>
  <si>
    <r>
      <t xml:space="preserve">Choose a </t>
    </r>
    <r>
      <rPr>
        <b/>
        <sz val="10"/>
        <rFont val="Arial"/>
        <family val="2"/>
      </rPr>
      <t>cumulative duration</t>
    </r>
    <r>
      <rPr>
        <sz val="10"/>
        <rFont val="Arial"/>
        <family val="0"/>
      </rPr>
      <t xml:space="preserve"> in the </t>
    </r>
    <r>
      <rPr>
        <b/>
        <sz val="10"/>
        <rFont val="Arial"/>
        <family val="2"/>
      </rPr>
      <t>purple</t>
    </r>
    <r>
      <rPr>
        <sz val="10"/>
        <rFont val="Arial"/>
        <family val="0"/>
      </rPr>
      <t xml:space="preserve"> input field to estimate a potential dermal exposure loading.</t>
    </r>
  </si>
  <si>
    <t>(Potential dermal exposure loading = potential dermal exposure rate * cumulutive duration)</t>
  </si>
  <si>
    <r>
      <t xml:space="preserve">Read the </t>
    </r>
    <r>
      <rPr>
        <b/>
        <sz val="10"/>
        <rFont val="Arial"/>
        <family val="2"/>
      </rPr>
      <t>comments</t>
    </r>
    <r>
      <rPr>
        <sz val="10"/>
        <rFont val="Arial"/>
        <family val="0"/>
      </rPr>
      <t xml:space="preserve"> by putting the cursor over a cell with a </t>
    </r>
    <r>
      <rPr>
        <b/>
        <sz val="10"/>
        <rFont val="Arial"/>
        <family val="2"/>
      </rPr>
      <t>comment sign.</t>
    </r>
  </si>
  <si>
    <r>
      <t xml:space="preserve">Read the </t>
    </r>
    <r>
      <rPr>
        <b/>
        <sz val="10"/>
        <rFont val="Arial"/>
        <family val="2"/>
      </rPr>
      <t>additional explanation</t>
    </r>
    <r>
      <rPr>
        <sz val="10"/>
        <rFont val="Arial"/>
        <family val="0"/>
      </rPr>
      <t xml:space="preserve"> given with your input choice (if available).</t>
    </r>
  </si>
  <si>
    <r>
      <t xml:space="preserve">Take account of the </t>
    </r>
    <r>
      <rPr>
        <b/>
        <sz val="10"/>
        <rFont val="Arial"/>
        <family val="2"/>
      </rPr>
      <t>warnings</t>
    </r>
    <r>
      <rPr>
        <sz val="10"/>
        <rFont val="Arial"/>
        <family val="0"/>
      </rPr>
      <t xml:space="preserve"> regarding </t>
    </r>
    <r>
      <rPr>
        <b/>
        <sz val="10"/>
        <rFont val="Arial"/>
        <family val="2"/>
      </rPr>
      <t>unreasonably high loadings</t>
    </r>
    <r>
      <rPr>
        <sz val="10"/>
        <rFont val="Arial"/>
        <family val="0"/>
      </rPr>
      <t xml:space="preserve"> (i.e. &gt; 12 mg/cm2)</t>
    </r>
  </si>
  <si>
    <t>Warnings are printed in red under the blue result boxes if relevant.</t>
  </si>
  <si>
    <t>Read the resulting potential dermal exposure rates and potential dermal exposure loadings in the blue boxes</t>
  </si>
  <si>
    <t>input field</t>
  </si>
  <si>
    <t>percentile input field</t>
  </si>
  <si>
    <t>cumulative duration input field</t>
  </si>
  <si>
    <t>result box</t>
  </si>
  <si>
    <t>cell with comment</t>
  </si>
  <si>
    <r>
      <t xml:space="preserve">If necessary, </t>
    </r>
    <r>
      <rPr>
        <b/>
        <sz val="10"/>
        <rFont val="Arial"/>
        <family val="2"/>
      </rPr>
      <t>scroll</t>
    </r>
    <r>
      <rPr>
        <sz val="10"/>
        <rFont val="Arial"/>
        <family val="0"/>
      </rPr>
      <t xml:space="preserve"> down (and up) to see all the fields.</t>
    </r>
  </si>
  <si>
    <r>
      <t xml:space="preserve">Input messages with input fields can be moved by </t>
    </r>
    <r>
      <rPr>
        <b/>
        <sz val="10"/>
        <rFont val="Arial"/>
        <family val="2"/>
      </rPr>
      <t>dragging and dropping.</t>
    </r>
  </si>
  <si>
    <t>The percentile exposure loa…</t>
  </si>
  <si>
    <t>Scroll up or down to see the remainder</t>
  </si>
  <si>
    <t>You can move the input messages with the input fields by dragging and dropping</t>
  </si>
  <si>
    <t>Manual dispersion of a product (i.e. wiping) (DEO unit 2)</t>
  </si>
  <si>
    <t>Dispersion of a product with a hand held tool (e.g. brush, roller, comb) (DEO unit 3)</t>
  </si>
  <si>
    <t>scroll down to see the remainder</t>
  </si>
  <si>
    <t>Scroll down to see the remainder</t>
  </si>
  <si>
    <t>For this DEO unit, no model for potential hand exposure rate is available due to lack of data</t>
  </si>
  <si>
    <t>More than light contact</t>
  </si>
  <si>
    <t>Filling, mixing, loading</t>
  </si>
  <si>
    <r>
      <t xml:space="preserve">Dermal exposure models for risk assessment </t>
    </r>
    <r>
      <rPr>
        <sz val="9"/>
        <rFont val="Arial"/>
        <family val="2"/>
      </rPr>
      <t>(version 2.0, April 2006)</t>
    </r>
  </si>
  <si>
    <t>Fillmixload_intercept</t>
  </si>
  <si>
    <t>Fillmixload_GSD</t>
  </si>
  <si>
    <t>Fillmixload_bodyeffect</t>
  </si>
  <si>
    <t>Fillmixload_handeffect</t>
  </si>
  <si>
    <t>Fillmixload_powerbody</t>
  </si>
  <si>
    <t>Fillmixload_powerhand</t>
  </si>
  <si>
    <t>Fillmixload_conttype_op1</t>
  </si>
  <si>
    <t>Fillmixload_conttype_op2</t>
  </si>
  <si>
    <t>Fillmixload_aerosol_op1</t>
  </si>
  <si>
    <t>Fillmixload_aerosol_op2</t>
  </si>
  <si>
    <t>Fillmixload_orientation1</t>
  </si>
  <si>
    <t>Fillmixload_orientation2</t>
  </si>
  <si>
    <t>Fillmixload_orientation3</t>
  </si>
  <si>
    <t>Fillmixload_proximity1</t>
  </si>
  <si>
    <t>Fillmixload_proximity2</t>
  </si>
  <si>
    <t>Fillmixload_proximity3</t>
  </si>
  <si>
    <t>Fillmixload_lnapplicationrate</t>
  </si>
  <si>
    <t>Wiping_intercept</t>
  </si>
  <si>
    <t>Wiping_powerbody</t>
  </si>
  <si>
    <t>Wiping_powerhand</t>
  </si>
  <si>
    <t>Wiping_orientation1</t>
  </si>
  <si>
    <t>Wiping_orientation2</t>
  </si>
  <si>
    <t>Wiping_orientation3</t>
  </si>
  <si>
    <t>Wiping_proximity1</t>
  </si>
  <si>
    <t>Wiping_proximity2</t>
  </si>
  <si>
    <t>Wiping_proximity3</t>
  </si>
  <si>
    <t>Fillmixload_volatility1</t>
  </si>
  <si>
    <t>Wiping_volatility1</t>
  </si>
  <si>
    <t>Fillmixload_volatility2</t>
  </si>
  <si>
    <t>Wiping_volatility2</t>
  </si>
  <si>
    <t>Fillmixload_volatility3</t>
  </si>
  <si>
    <t>Wiping_volatility3</t>
  </si>
  <si>
    <t>Fillmixload_viscosity1</t>
  </si>
  <si>
    <t>Wiping_viscosity1</t>
  </si>
  <si>
    <t>Fillmixload_viscosity2</t>
  </si>
  <si>
    <t>Wiping_viscosity2</t>
  </si>
  <si>
    <t>Spraying_intercept</t>
  </si>
  <si>
    <t>Spraying_GSD</t>
  </si>
  <si>
    <t>fillmixload_warning_userate_liquid_lower</t>
  </si>
  <si>
    <t>Use rates below 1 L/min lead to unexpected high results; use rate should be at least 1 L/min</t>
  </si>
  <si>
    <r>
      <t xml:space="preserve">0,56-225 kg/min for powders; 0,008-257 L/min for liquids; </t>
    </r>
    <r>
      <rPr>
        <sz val="10"/>
        <color indexed="10"/>
        <rFont val="Arial"/>
        <family val="2"/>
      </rPr>
      <t>however, below 1 L/min model leads to unrealistic results</t>
    </r>
  </si>
  <si>
    <t>Use rates &lt; 1 L/min should not be used; they lead to unrealistic high results</t>
  </si>
  <si>
    <r>
      <rPr>
        <sz val="10"/>
        <color indexed="10"/>
        <rFont val="Arial"/>
        <family val="2"/>
      </rPr>
      <t xml:space="preserve">0,008  </t>
    </r>
    <r>
      <rPr>
        <sz val="10"/>
        <rFont val="Arial"/>
        <family val="0"/>
      </rPr>
      <t xml:space="preserve"> - 257</t>
    </r>
  </si>
  <si>
    <r>
      <t xml:space="preserve">RISKOFDERM Potential Dermal Exposure Model </t>
    </r>
    <r>
      <rPr>
        <sz val="9"/>
        <rFont val="Arial"/>
        <family val="2"/>
      </rPr>
      <t>(version 2.2.1, November 2014)</t>
    </r>
  </si>
  <si>
    <t>For changes compared to previous versions and a description of the validity boundaries of the model, see the sheet "Changes and validity"</t>
  </si>
  <si>
    <t>Due to the fact that 'use rate' was implemented as a factor on top of another determinant in the filling/mixing/loading equation for liquids,</t>
  </si>
  <si>
    <t>an increasingly lower use rate below 1 L/min in that model leads to increasingly higher results. This is not realistic.</t>
  </si>
  <si>
    <t>Important new message on use rates:</t>
  </si>
  <si>
    <r>
      <t xml:space="preserve">Therefore, it is recommended </t>
    </r>
    <r>
      <rPr>
        <b/>
        <sz val="10"/>
        <color indexed="56"/>
        <rFont val="Arial"/>
        <family val="2"/>
      </rPr>
      <t>not</t>
    </r>
    <r>
      <rPr>
        <sz val="10"/>
        <color indexed="56"/>
        <rFont val="Arial"/>
        <family val="2"/>
      </rPr>
      <t xml:space="preserve"> to use liquid use rates lower than 1 L/min in Filling, mixing and loading of liquids.</t>
    </r>
  </si>
  <si>
    <t>© TNO/HSL, 2006, 2008, 2014</t>
  </si>
  <si>
    <r>
      <t xml:space="preserve">► Warnings were added to indicate that use rates lower than 1 L/min should </t>
    </r>
    <r>
      <rPr>
        <u val="single"/>
        <sz val="10"/>
        <rFont val="Arial"/>
        <family val="2"/>
      </rPr>
      <t xml:space="preserve">not </t>
    </r>
    <r>
      <rPr>
        <sz val="10"/>
        <rFont val="Arial"/>
        <family val="2"/>
      </rPr>
      <t>be used in the model for Filling, mixing and loading for liquids</t>
    </r>
  </si>
  <si>
    <t>The measured data underneath the model were based also on (very) low use rates. However, an anomaly resulted from the way use rate was used.</t>
  </si>
  <si>
    <t>In the model equation, use rate is a factor on another parameter (in the form: "determinant^use rate"). At the time of modelling, this looked good.</t>
  </si>
  <si>
    <t>However, it results in increasingly higher exposures for increasingly lower use rates below 1 L/min, which was not noticed then.</t>
  </si>
  <si>
    <t>Since modification of the actual model is not feasible, it was decided to add warnings to not use these low use rates for liquid filling, mixing, loading.</t>
  </si>
  <si>
    <t>Changes in version 2.2.1</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</si>
</sst>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
    <numFmt numFmtId="173" formatCode="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00000"/>
    <numFmt numFmtId="180" formatCode="0.0000"/>
    <numFmt numFmtId="181" formatCode="##.#############"/>
    <numFmt numFmtId="182" formatCode="0.00000000"/>
    <numFmt numFmtId="183" formatCode="##.###"/>
    <numFmt numFmtId="184" formatCode="##.##########"/>
  </numFmts>
  <fonts count="89">
    <font>
      <sz val="10"/>
      <name val="Arial"/>
      <family val="0"/>
    </font>
    <font>
      <sz val="8"/>
      <name val="Arial"/>
      <family val="2"/>
    </font>
    <font>
      <b/>
      <sz val="12"/>
      <name val="Arial"/>
      <family val="2"/>
    </font>
    <font>
      <b/>
      <sz val="10"/>
      <name val="Arial"/>
      <family val="2"/>
    </font>
    <font>
      <b/>
      <sz val="10"/>
      <color indexed="10"/>
      <name val="Arial"/>
      <family val="2"/>
    </font>
    <font>
      <sz val="8"/>
      <name val="Tahoma"/>
      <family val="2"/>
    </font>
    <font>
      <i/>
      <sz val="10"/>
      <color indexed="10"/>
      <name val="Arial"/>
      <family val="2"/>
    </font>
    <font>
      <b/>
      <sz val="8"/>
      <name val="Tahoma"/>
      <family val="2"/>
    </font>
    <font>
      <i/>
      <sz val="8"/>
      <color indexed="10"/>
      <name val="Tahoma"/>
      <family val="2"/>
    </font>
    <font>
      <b/>
      <i/>
      <sz val="8"/>
      <color indexed="10"/>
      <name val="Tahoma"/>
      <family val="2"/>
    </font>
    <font>
      <b/>
      <u val="single"/>
      <sz val="8"/>
      <name val="Tahoma"/>
      <family val="2"/>
    </font>
    <font>
      <b/>
      <i/>
      <sz val="12"/>
      <color indexed="10"/>
      <name val="Arial"/>
      <family val="2"/>
    </font>
    <font>
      <i/>
      <sz val="10"/>
      <name val="Arial"/>
      <family val="2"/>
    </font>
    <font>
      <sz val="9"/>
      <name val="Arial"/>
      <family val="2"/>
    </font>
    <font>
      <b/>
      <sz val="10"/>
      <color indexed="53"/>
      <name val="Arial"/>
      <family val="2"/>
    </font>
    <font>
      <sz val="10"/>
      <color indexed="58"/>
      <name val="Arial"/>
      <family val="2"/>
    </font>
    <font>
      <sz val="10"/>
      <color indexed="12"/>
      <name val="Arial"/>
      <family val="2"/>
    </font>
    <font>
      <sz val="10"/>
      <color indexed="10"/>
      <name val="Arial"/>
      <family val="2"/>
    </font>
    <font>
      <b/>
      <sz val="10"/>
      <color indexed="12"/>
      <name val="Arial"/>
      <family val="2"/>
    </font>
    <font>
      <sz val="10"/>
      <color indexed="53"/>
      <name val="Arial"/>
      <family val="2"/>
    </font>
    <font>
      <b/>
      <sz val="10"/>
      <color indexed="17"/>
      <name val="Arial"/>
      <family val="2"/>
    </font>
    <font>
      <sz val="10"/>
      <color indexed="17"/>
      <name val="Arial"/>
      <family val="2"/>
    </font>
    <font>
      <b/>
      <vertAlign val="superscript"/>
      <sz val="10"/>
      <name val="Arial"/>
      <family val="2"/>
    </font>
    <font>
      <u val="single"/>
      <sz val="10"/>
      <name val="Arial"/>
      <family val="2"/>
    </font>
    <font>
      <b/>
      <sz val="12"/>
      <color indexed="53"/>
      <name val="Arial"/>
      <family val="2"/>
    </font>
    <font>
      <i/>
      <sz val="10"/>
      <color indexed="53"/>
      <name val="Arial"/>
      <family val="2"/>
    </font>
    <font>
      <b/>
      <sz val="10"/>
      <color indexed="48"/>
      <name val="Arial"/>
      <family val="2"/>
    </font>
    <font>
      <sz val="10"/>
      <color indexed="48"/>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b/>
      <sz val="10"/>
      <color indexed="56"/>
      <name val="Arial"/>
      <family val="2"/>
    </font>
    <font>
      <sz val="10"/>
      <color indexed="56"/>
      <name val="Arial"/>
      <family val="2"/>
    </font>
    <font>
      <sz val="18.25"/>
      <color indexed="8"/>
      <name val="Arial"/>
      <family val="0"/>
    </font>
    <font>
      <b/>
      <sz val="9"/>
      <color indexed="8"/>
      <name val="Arial"/>
      <family val="0"/>
    </font>
    <font>
      <sz val="12"/>
      <color indexed="8"/>
      <name val="Arial"/>
      <family val="0"/>
    </font>
    <font>
      <sz val="12.85"/>
      <color indexed="8"/>
      <name val="Arial"/>
      <family val="0"/>
    </font>
    <font>
      <sz val="20"/>
      <color indexed="8"/>
      <name val="Arial"/>
      <family val="0"/>
    </font>
    <font>
      <b/>
      <sz val="8.75"/>
      <color indexed="8"/>
      <name val="Arial"/>
      <family val="0"/>
    </font>
    <font>
      <sz val="11.5"/>
      <color indexed="8"/>
      <name val="Arial"/>
      <family val="0"/>
    </font>
    <font>
      <sz val="17"/>
      <color indexed="8"/>
      <name val="Arial"/>
      <family val="0"/>
    </font>
    <font>
      <sz val="11.95"/>
      <color indexed="8"/>
      <name val="Arial"/>
      <family val="0"/>
    </font>
    <font>
      <sz val="17.2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9"/>
      <color indexed="8"/>
      <name val="Arial"/>
      <family val="0"/>
    </font>
    <font>
      <b/>
      <sz val="20"/>
      <color indexed="8"/>
      <name val="Arial"/>
      <family val="0"/>
    </font>
    <font>
      <b/>
      <sz val="22"/>
      <color indexed="8"/>
      <name val="Arial"/>
      <family val="0"/>
    </font>
    <font>
      <b/>
      <sz val="21.75"/>
      <color indexed="8"/>
      <name val="Arial"/>
      <family val="0"/>
    </font>
    <font>
      <b/>
      <sz val="18.5"/>
      <color indexed="8"/>
      <name val="Arial"/>
      <family val="0"/>
    </font>
    <font>
      <b/>
      <sz val="19.25"/>
      <color indexed="8"/>
      <name val="Arial"/>
      <family val="0"/>
    </font>
    <font>
      <b/>
      <sz val="18.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theme="3"/>
      <name val="Arial"/>
      <family val="2"/>
    </font>
    <font>
      <sz val="10"/>
      <color rgb="FFFF00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5"/>
        <bgColor indexed="64"/>
      </patternFill>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rgb="FFCC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style="medium"/>
      <bottom>
        <color indexed="63"/>
      </bottom>
    </border>
    <border>
      <left style="thin"/>
      <right style="thin"/>
      <top style="thin"/>
      <bottom style="thin"/>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color indexed="63"/>
      </bottom>
    </border>
    <border>
      <left>
        <color indexed="63"/>
      </left>
      <right>
        <color indexed="63"/>
      </right>
      <top style="thin"/>
      <bottom style="dotted"/>
    </border>
    <border>
      <left style="thin"/>
      <right>
        <color indexed="63"/>
      </right>
      <top style="thin"/>
      <bottom style="dotted"/>
    </border>
    <border>
      <left>
        <color indexed="63"/>
      </left>
      <right>
        <color indexed="63"/>
      </right>
      <top style="dotted"/>
      <bottom style="dotted"/>
    </border>
    <border>
      <left style="thin"/>
      <right>
        <color indexed="63"/>
      </right>
      <top style="dotted"/>
      <bottom style="dotted"/>
    </border>
    <border>
      <left>
        <color indexed="63"/>
      </left>
      <right>
        <color indexed="63"/>
      </right>
      <top style="dotted"/>
      <bottom style="thin"/>
    </border>
    <border>
      <left style="thin"/>
      <right>
        <color indexed="63"/>
      </right>
      <top style="dotted"/>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29"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28"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76">
    <xf numFmtId="0" fontId="0" fillId="0" borderId="0" xfId="0" applyAlignment="1">
      <alignment/>
    </xf>
    <xf numFmtId="0" fontId="0" fillId="33" borderId="0" xfId="0" applyFill="1" applyAlignment="1">
      <alignment/>
    </xf>
    <xf numFmtId="0" fontId="3" fillId="34" borderId="10" xfId="0" applyFont="1" applyFill="1" applyBorder="1" applyAlignment="1">
      <alignment/>
    </xf>
    <xf numFmtId="0" fontId="3" fillId="34" borderId="11" xfId="0" applyFont="1" applyFill="1" applyBorder="1" applyAlignment="1">
      <alignment horizontal="center"/>
    </xf>
    <xf numFmtId="0" fontId="3" fillId="34" borderId="11" xfId="0" applyFont="1" applyFill="1" applyBorder="1" applyAlignment="1">
      <alignment/>
    </xf>
    <xf numFmtId="0" fontId="3" fillId="34"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174" fontId="0" fillId="33" borderId="15" xfId="0" applyNumberFormat="1" applyFill="1" applyBorder="1" applyAlignment="1">
      <alignment horizontal="center"/>
    </xf>
    <xf numFmtId="0" fontId="4" fillId="34" borderId="16" xfId="0" applyFont="1" applyFill="1" applyBorder="1" applyAlignment="1">
      <alignment horizontal="center"/>
    </xf>
    <xf numFmtId="0" fontId="4" fillId="34" borderId="17" xfId="0" applyFont="1" applyFill="1" applyBorder="1" applyAlignment="1">
      <alignment horizontal="center" wrapText="1"/>
    </xf>
    <xf numFmtId="0" fontId="0" fillId="33" borderId="18" xfId="0" applyFill="1" applyBorder="1" applyAlignment="1">
      <alignment wrapText="1"/>
    </xf>
    <xf numFmtId="172" fontId="4" fillId="34" borderId="19" xfId="0" applyNumberFormat="1" applyFont="1" applyFill="1" applyBorder="1" applyAlignment="1">
      <alignment horizontal="center"/>
    </xf>
    <xf numFmtId="0" fontId="0" fillId="33" borderId="13" xfId="0" applyFill="1" applyBorder="1" applyAlignment="1">
      <alignment horizontal="right"/>
    </xf>
    <xf numFmtId="172" fontId="4" fillId="34" borderId="0" xfId="0" applyNumberFormat="1" applyFont="1" applyFill="1" applyBorder="1" applyAlignment="1">
      <alignment horizontal="center"/>
    </xf>
    <xf numFmtId="181" fontId="4" fillId="34" borderId="0" xfId="0" applyNumberFormat="1" applyFont="1" applyFill="1" applyBorder="1" applyAlignment="1">
      <alignment horizontal="center"/>
    </xf>
    <xf numFmtId="181" fontId="4" fillId="34" borderId="19" xfId="0" applyNumberFormat="1" applyFont="1" applyFill="1" applyBorder="1" applyAlignment="1">
      <alignment horizontal="center"/>
    </xf>
    <xf numFmtId="0" fontId="0" fillId="33" borderId="0" xfId="0" applyFill="1" applyBorder="1" applyAlignment="1">
      <alignment horizontal="center"/>
    </xf>
    <xf numFmtId="181" fontId="4" fillId="33" borderId="0" xfId="0" applyNumberFormat="1" applyFont="1" applyFill="1" applyBorder="1" applyAlignment="1">
      <alignment horizontal="center"/>
    </xf>
    <xf numFmtId="0" fontId="0" fillId="0" borderId="13" xfId="0" applyBorder="1" applyAlignment="1">
      <alignment/>
    </xf>
    <xf numFmtId="0" fontId="0" fillId="0" borderId="0" xfId="0" applyBorder="1" applyAlignment="1">
      <alignment/>
    </xf>
    <xf numFmtId="0" fontId="0" fillId="33" borderId="11" xfId="0" applyFill="1" applyBorder="1" applyAlignment="1">
      <alignment/>
    </xf>
    <xf numFmtId="172" fontId="4" fillId="34" borderId="20" xfId="0" applyNumberFormat="1" applyFont="1" applyFill="1" applyBorder="1" applyAlignment="1">
      <alignment/>
    </xf>
    <xf numFmtId="0" fontId="4" fillId="34" borderId="21" xfId="0" applyFont="1" applyFill="1" applyBorder="1" applyAlignment="1">
      <alignment/>
    </xf>
    <xf numFmtId="172" fontId="4" fillId="34" borderId="22" xfId="0" applyNumberFormat="1" applyFont="1" applyFill="1" applyBorder="1" applyAlignment="1">
      <alignment/>
    </xf>
    <xf numFmtId="0" fontId="4" fillId="34" borderId="18" xfId="0" applyFont="1" applyFill="1" applyBorder="1" applyAlignment="1">
      <alignment/>
    </xf>
    <xf numFmtId="0" fontId="4" fillId="34" borderId="20" xfId="0" applyFont="1" applyFill="1" applyBorder="1" applyAlignment="1">
      <alignment horizontal="left"/>
    </xf>
    <xf numFmtId="0" fontId="4" fillId="34" borderId="22" xfId="0" applyFont="1" applyFill="1" applyBorder="1" applyAlignment="1">
      <alignment horizontal="left"/>
    </xf>
    <xf numFmtId="172" fontId="4" fillId="34" borderId="23" xfId="0" applyNumberFormat="1" applyFont="1" applyFill="1" applyBorder="1" applyAlignment="1">
      <alignment/>
    </xf>
    <xf numFmtId="0" fontId="4" fillId="34" borderId="23" xfId="0" applyFont="1" applyFill="1" applyBorder="1" applyAlignment="1">
      <alignment horizontal="left"/>
    </xf>
    <xf numFmtId="0" fontId="0" fillId="35" borderId="24" xfId="0" applyFill="1" applyBorder="1" applyAlignment="1" applyProtection="1">
      <alignment horizontal="center"/>
      <protection locked="0"/>
    </xf>
    <xf numFmtId="0" fontId="0" fillId="0" borderId="0" xfId="0" applyAlignment="1" applyProtection="1">
      <alignment/>
      <protection hidden="1"/>
    </xf>
    <xf numFmtId="0" fontId="0" fillId="33" borderId="0" xfId="0" applyFill="1" applyAlignment="1" applyProtection="1">
      <alignment/>
      <protection hidden="1"/>
    </xf>
    <xf numFmtId="0" fontId="3" fillId="0" borderId="0" xfId="0" applyFont="1" applyAlignment="1" applyProtection="1">
      <alignment/>
      <protection hidden="1"/>
    </xf>
    <xf numFmtId="179" fontId="0" fillId="0" borderId="0" xfId="0" applyNumberFormat="1" applyAlignment="1" applyProtection="1">
      <alignment/>
      <protection hidden="1"/>
    </xf>
    <xf numFmtId="180" fontId="0" fillId="36" borderId="0" xfId="0" applyNumberFormat="1" applyFont="1" applyFill="1" applyBorder="1" applyAlignment="1" applyProtection="1">
      <alignment horizontal="center"/>
      <protection hidden="1"/>
    </xf>
    <xf numFmtId="181" fontId="0" fillId="36" borderId="0" xfId="0" applyNumberFormat="1" applyFill="1" applyAlignment="1" applyProtection="1">
      <alignment/>
      <protection hidden="1"/>
    </xf>
    <xf numFmtId="172" fontId="4" fillId="34" borderId="0" xfId="0" applyNumberFormat="1" applyFont="1" applyFill="1" applyBorder="1" applyAlignment="1" applyProtection="1">
      <alignment horizontal="center"/>
      <protection hidden="1"/>
    </xf>
    <xf numFmtId="172" fontId="4" fillId="34" borderId="19" xfId="0" applyNumberFormat="1" applyFont="1" applyFill="1" applyBorder="1" applyAlignment="1" applyProtection="1">
      <alignment horizontal="center"/>
      <protection hidden="1"/>
    </xf>
    <xf numFmtId="0" fontId="0" fillId="35" borderId="24" xfId="0" applyFill="1" applyBorder="1" applyAlignment="1" applyProtection="1">
      <alignment horizontal="center" vertical="top" wrapText="1"/>
      <protection locked="0"/>
    </xf>
    <xf numFmtId="0" fontId="3" fillId="0" borderId="0" xfId="0" applyFont="1" applyAlignment="1">
      <alignment/>
    </xf>
    <xf numFmtId="0" fontId="0" fillId="35" borderId="24" xfId="0" applyFont="1" applyFill="1" applyBorder="1" applyAlignment="1" applyProtection="1">
      <alignment horizontal="center" vertical="top" wrapText="1"/>
      <protection locked="0"/>
    </xf>
    <xf numFmtId="0" fontId="0" fillId="33" borderId="0" xfId="0" applyFill="1" applyBorder="1" applyAlignment="1">
      <alignment vertical="top" wrapText="1"/>
    </xf>
    <xf numFmtId="0" fontId="0" fillId="33" borderId="13" xfId="0" applyFill="1" applyBorder="1" applyAlignment="1">
      <alignment vertical="top" wrapText="1"/>
    </xf>
    <xf numFmtId="0" fontId="0" fillId="35" borderId="24" xfId="0" applyFill="1" applyBorder="1" applyAlignment="1" applyProtection="1">
      <alignment horizontal="center" vertical="top"/>
      <protection locked="0"/>
    </xf>
    <xf numFmtId="0" fontId="6" fillId="33" borderId="0" xfId="0" applyFont="1" applyFill="1" applyBorder="1" applyAlignment="1">
      <alignment/>
    </xf>
    <xf numFmtId="0" fontId="3" fillId="33" borderId="0" xfId="0" applyFont="1" applyFill="1" applyBorder="1" applyAlignment="1">
      <alignment vertical="top" wrapText="1"/>
    </xf>
    <xf numFmtId="0" fontId="0" fillId="33" borderId="11" xfId="0" applyFont="1" applyFill="1" applyBorder="1" applyAlignment="1">
      <alignment/>
    </xf>
    <xf numFmtId="0" fontId="0" fillId="33" borderId="0" xfId="0" applyFont="1" applyFill="1" applyBorder="1" applyAlignment="1">
      <alignment/>
    </xf>
    <xf numFmtId="0" fontId="0" fillId="33" borderId="25" xfId="0" applyFont="1" applyFill="1" applyBorder="1" applyAlignment="1">
      <alignment vertical="top" wrapText="1"/>
    </xf>
    <xf numFmtId="0" fontId="0" fillId="33" borderId="0" xfId="0" applyFont="1" applyFill="1" applyBorder="1" applyAlignment="1">
      <alignment horizontal="center"/>
    </xf>
    <xf numFmtId="0" fontId="0" fillId="35" borderId="24" xfId="0" applyFont="1" applyFill="1" applyBorder="1" applyAlignment="1" applyProtection="1">
      <alignment horizontal="center" vertical="top"/>
      <protection locked="0"/>
    </xf>
    <xf numFmtId="0" fontId="0" fillId="33" borderId="0" xfId="0" applyFont="1" applyFill="1" applyBorder="1" applyAlignment="1">
      <alignment vertical="top"/>
    </xf>
    <xf numFmtId="174" fontId="0" fillId="33" borderId="15" xfId="0" applyNumberFormat="1" applyFont="1" applyFill="1" applyBorder="1" applyAlignment="1">
      <alignment horizontal="center"/>
    </xf>
    <xf numFmtId="0" fontId="0" fillId="33" borderId="0" xfId="0" applyFont="1" applyFill="1" applyBorder="1" applyAlignment="1">
      <alignment vertical="top" wrapText="1"/>
    </xf>
    <xf numFmtId="0" fontId="0" fillId="37" borderId="26" xfId="0" applyFill="1" applyBorder="1" applyAlignment="1" applyProtection="1">
      <alignment horizontal="center"/>
      <protection locked="0"/>
    </xf>
    <xf numFmtId="174" fontId="0" fillId="38" borderId="26" xfId="0" applyNumberFormat="1" applyFill="1" applyBorder="1" applyAlignment="1" applyProtection="1">
      <alignment horizontal="center"/>
      <protection locked="0"/>
    </xf>
    <xf numFmtId="174" fontId="0" fillId="38" borderId="26" xfId="0" applyNumberFormat="1" applyFill="1" applyBorder="1" applyAlignment="1" applyProtection="1">
      <alignment horizontal="center" vertical="top"/>
      <protection locked="0"/>
    </xf>
    <xf numFmtId="0" fontId="6" fillId="33" borderId="0" xfId="0" applyFont="1" applyFill="1" applyBorder="1" applyAlignment="1">
      <alignment vertical="top" wrapText="1"/>
    </xf>
    <xf numFmtId="0" fontId="6" fillId="33" borderId="19" xfId="0" applyFont="1" applyFill="1" applyBorder="1" applyAlignment="1">
      <alignment/>
    </xf>
    <xf numFmtId="0" fontId="0" fillId="33" borderId="0" xfId="0" applyFont="1" applyFill="1" applyBorder="1" applyAlignment="1" applyProtection="1">
      <alignment horizontal="center" vertical="top"/>
      <protection/>
    </xf>
    <xf numFmtId="0" fontId="0" fillId="33" borderId="0" xfId="0" applyFill="1" applyAlignment="1" applyProtection="1">
      <alignment/>
      <protection/>
    </xf>
    <xf numFmtId="0" fontId="0" fillId="0" borderId="0" xfId="0" applyAlignment="1" applyProtection="1">
      <alignment/>
      <protection/>
    </xf>
    <xf numFmtId="0" fontId="0" fillId="39" borderId="0" xfId="0" applyFill="1" applyBorder="1" applyAlignment="1" applyProtection="1">
      <alignment/>
      <protection/>
    </xf>
    <xf numFmtId="0" fontId="0" fillId="39" borderId="0" xfId="0" applyFill="1" applyAlignment="1" applyProtection="1">
      <alignment/>
      <protection/>
    </xf>
    <xf numFmtId="0" fontId="0" fillId="33" borderId="0" xfId="0" applyFill="1" applyBorder="1" applyAlignment="1" applyProtection="1">
      <alignment/>
      <protection/>
    </xf>
    <xf numFmtId="0" fontId="0" fillId="39" borderId="0" xfId="0" applyFont="1" applyFill="1" applyBorder="1" applyAlignment="1" applyProtection="1">
      <alignment/>
      <protection/>
    </xf>
    <xf numFmtId="0" fontId="0" fillId="35" borderId="24" xfId="0" applyFont="1" applyFill="1" applyBorder="1" applyAlignment="1" applyProtection="1">
      <alignment horizontal="center"/>
      <protection/>
    </xf>
    <xf numFmtId="0" fontId="0" fillId="38" borderId="24" xfId="0" applyFill="1" applyBorder="1" applyAlignment="1" applyProtection="1">
      <alignment horizontal="center"/>
      <protection/>
    </xf>
    <xf numFmtId="0" fontId="2" fillId="39" borderId="0"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0" fontId="0" fillId="37" borderId="27" xfId="0" applyFill="1" applyBorder="1" applyAlignment="1" applyProtection="1">
      <alignment horizontal="center" vertical="center" wrapText="1"/>
      <protection/>
    </xf>
    <xf numFmtId="0" fontId="3" fillId="39" borderId="0" xfId="0" applyFont="1" applyFill="1" applyBorder="1" applyAlignment="1" applyProtection="1">
      <alignment/>
      <protection/>
    </xf>
    <xf numFmtId="0" fontId="3" fillId="33" borderId="0" xfId="0" applyFont="1" applyFill="1" applyBorder="1" applyAlignment="1" applyProtection="1">
      <alignment/>
      <protection/>
    </xf>
    <xf numFmtId="0" fontId="0" fillId="33" borderId="27" xfId="0" applyFill="1" applyBorder="1" applyAlignment="1" applyProtection="1">
      <alignment horizontal="center"/>
      <protection/>
    </xf>
    <xf numFmtId="0" fontId="2" fillId="39" borderId="0" xfId="0" applyFont="1" applyFill="1" applyBorder="1" applyAlignment="1" applyProtection="1">
      <alignment/>
      <protection/>
    </xf>
    <xf numFmtId="0" fontId="12" fillId="40" borderId="0" xfId="0" applyFont="1" applyFill="1" applyBorder="1" applyAlignment="1" applyProtection="1">
      <alignment/>
      <protection/>
    </xf>
    <xf numFmtId="0" fontId="4" fillId="39" borderId="0" xfId="0" applyFont="1" applyFill="1" applyBorder="1" applyAlignment="1" applyProtection="1">
      <alignment/>
      <protection/>
    </xf>
    <xf numFmtId="0" fontId="0" fillId="34" borderId="24" xfId="0" applyFill="1" applyBorder="1" applyAlignment="1" applyProtection="1">
      <alignment horizontal="center"/>
      <protection/>
    </xf>
    <xf numFmtId="0" fontId="4" fillId="33" borderId="0" xfId="0" applyFont="1" applyFill="1" applyAlignment="1" applyProtection="1">
      <alignment/>
      <protection/>
    </xf>
    <xf numFmtId="0" fontId="2" fillId="33" borderId="11" xfId="0" applyFont="1" applyFill="1" applyBorder="1" applyAlignment="1">
      <alignment/>
    </xf>
    <xf numFmtId="172" fontId="4" fillId="34" borderId="15" xfId="0" applyNumberFormat="1" applyFont="1" applyFill="1" applyBorder="1" applyAlignment="1">
      <alignment/>
    </xf>
    <xf numFmtId="172" fontId="4" fillId="34" borderId="19" xfId="0" applyNumberFormat="1" applyFont="1" applyFill="1" applyBorder="1" applyAlignment="1">
      <alignment/>
    </xf>
    <xf numFmtId="0" fontId="0" fillId="33" borderId="0" xfId="0" applyFont="1" applyFill="1" applyBorder="1" applyAlignment="1">
      <alignment horizontal="right"/>
    </xf>
    <xf numFmtId="0" fontId="4" fillId="34" borderId="15" xfId="0" applyFont="1" applyFill="1" applyBorder="1" applyAlignment="1">
      <alignment horizontal="left"/>
    </xf>
    <xf numFmtId="0" fontId="4" fillId="34" borderId="19" xfId="0" applyFont="1" applyFill="1" applyBorder="1" applyAlignment="1">
      <alignment horizontal="left"/>
    </xf>
    <xf numFmtId="0" fontId="4" fillId="33" borderId="0" xfId="0" applyFont="1" applyFill="1" applyBorder="1" applyAlignment="1">
      <alignment/>
    </xf>
    <xf numFmtId="0" fontId="4" fillId="34" borderId="15" xfId="0" applyFont="1" applyFill="1" applyBorder="1" applyAlignment="1">
      <alignment/>
    </xf>
    <xf numFmtId="0" fontId="4" fillId="34" borderId="19" xfId="0" applyFont="1" applyFill="1" applyBorder="1" applyAlignment="1">
      <alignment/>
    </xf>
    <xf numFmtId="0" fontId="0" fillId="0" borderId="0" xfId="0" applyFill="1" applyAlignment="1" applyProtection="1">
      <alignment/>
      <protection/>
    </xf>
    <xf numFmtId="0" fontId="0" fillId="33" borderId="0" xfId="0" applyFill="1" applyBorder="1" applyAlignment="1">
      <alignment horizontal="right"/>
    </xf>
    <xf numFmtId="172" fontId="4" fillId="34" borderId="28" xfId="0" applyNumberFormat="1" applyFont="1" applyFill="1" applyBorder="1" applyAlignment="1">
      <alignment/>
    </xf>
    <xf numFmtId="0" fontId="4" fillId="34" borderId="28" xfId="0" applyFont="1" applyFill="1" applyBorder="1" applyAlignment="1">
      <alignment horizontal="left"/>
    </xf>
    <xf numFmtId="0" fontId="0" fillId="0" borderId="0" xfId="0" applyAlignment="1">
      <alignment wrapText="1"/>
    </xf>
    <xf numFmtId="172" fontId="0" fillId="36" borderId="0" xfId="0" applyNumberFormat="1" applyFont="1" applyFill="1" applyBorder="1" applyAlignment="1" applyProtection="1">
      <alignment horizontal="center"/>
      <protection hidden="1"/>
    </xf>
    <xf numFmtId="0" fontId="3" fillId="34" borderId="11" xfId="0" applyFont="1" applyFill="1" applyBorder="1" applyAlignment="1">
      <alignment wrapText="1"/>
    </xf>
    <xf numFmtId="0" fontId="0" fillId="33" borderId="0" xfId="0" applyFill="1" applyBorder="1" applyAlignment="1">
      <alignment wrapText="1"/>
    </xf>
    <xf numFmtId="172" fontId="4" fillId="34" borderId="15" xfId="0" applyNumberFormat="1" applyFont="1" applyFill="1" applyBorder="1" applyAlignment="1">
      <alignment wrapText="1"/>
    </xf>
    <xf numFmtId="172" fontId="4" fillId="34" borderId="19" xfId="0" applyNumberFormat="1" applyFont="1" applyFill="1" applyBorder="1" applyAlignment="1">
      <alignment wrapText="1"/>
    </xf>
    <xf numFmtId="0" fontId="0" fillId="33" borderId="0" xfId="0" applyFill="1" applyBorder="1" applyAlignment="1">
      <alignment horizontal="right" wrapText="1"/>
    </xf>
    <xf numFmtId="0" fontId="4" fillId="34" borderId="15" xfId="0" applyFont="1" applyFill="1" applyBorder="1" applyAlignment="1">
      <alignment horizontal="left" wrapText="1"/>
    </xf>
    <xf numFmtId="0" fontId="4" fillId="34" borderId="19" xfId="0" applyFont="1" applyFill="1" applyBorder="1" applyAlignment="1">
      <alignment horizontal="left" wrapText="1"/>
    </xf>
    <xf numFmtId="0" fontId="4" fillId="33" borderId="0" xfId="0" applyFont="1" applyFill="1" applyBorder="1" applyAlignment="1">
      <alignment wrapText="1"/>
    </xf>
    <xf numFmtId="0" fontId="0" fillId="33" borderId="19" xfId="0" applyFill="1" applyBorder="1" applyAlignment="1">
      <alignment horizontal="center"/>
    </xf>
    <xf numFmtId="0" fontId="0" fillId="37" borderId="24" xfId="0" applyFont="1" applyFill="1" applyBorder="1" applyAlignment="1" applyProtection="1">
      <alignment horizontal="center"/>
      <protection locked="0"/>
    </xf>
    <xf numFmtId="0" fontId="14" fillId="33" borderId="0" xfId="0" applyFont="1" applyFill="1" applyBorder="1" applyAlignment="1" applyProtection="1">
      <alignment horizontal="center"/>
      <protection locked="0"/>
    </xf>
    <xf numFmtId="0" fontId="14" fillId="33" borderId="15" xfId="0" applyFont="1" applyFill="1" applyBorder="1" applyAlignment="1">
      <alignment horizontal="center"/>
    </xf>
    <xf numFmtId="0" fontId="14" fillId="33" borderId="0" xfId="0" applyFont="1" applyFill="1" applyBorder="1" applyAlignment="1">
      <alignment wrapText="1"/>
    </xf>
    <xf numFmtId="0" fontId="3" fillId="33" borderId="0" xfId="0" applyFont="1" applyFill="1" applyAlignment="1">
      <alignment/>
    </xf>
    <xf numFmtId="0" fontId="15" fillId="33" borderId="14" xfId="0" applyFont="1" applyFill="1" applyBorder="1" applyAlignment="1">
      <alignment/>
    </xf>
    <xf numFmtId="17" fontId="15" fillId="33" borderId="14" xfId="0" applyNumberFormat="1" applyFont="1" applyFill="1" applyBorder="1" applyAlignment="1">
      <alignment/>
    </xf>
    <xf numFmtId="0" fontId="15" fillId="33" borderId="29" xfId="0" applyFont="1" applyFill="1" applyBorder="1" applyAlignment="1">
      <alignment/>
    </xf>
    <xf numFmtId="0" fontId="3" fillId="34" borderId="14" xfId="0" applyFont="1" applyFill="1" applyBorder="1" applyAlignment="1">
      <alignment/>
    </xf>
    <xf numFmtId="0" fontId="15" fillId="33" borderId="30" xfId="0" applyFont="1" applyFill="1" applyBorder="1" applyAlignment="1">
      <alignment/>
    </xf>
    <xf numFmtId="0" fontId="15" fillId="33" borderId="31" xfId="0" applyFont="1" applyFill="1" applyBorder="1" applyAlignment="1">
      <alignment/>
    </xf>
    <xf numFmtId="0" fontId="0" fillId="33" borderId="0" xfId="0" applyFill="1" applyAlignment="1">
      <alignment wrapText="1"/>
    </xf>
    <xf numFmtId="0" fontId="15" fillId="33" borderId="0" xfId="0" applyFont="1" applyFill="1" applyAlignment="1">
      <alignment/>
    </xf>
    <xf numFmtId="0" fontId="15" fillId="33" borderId="0" xfId="0" applyFont="1" applyFill="1" applyAlignment="1">
      <alignment horizontal="right"/>
    </xf>
    <xf numFmtId="0" fontId="0" fillId="33" borderId="0" xfId="0" applyFill="1" applyAlignment="1">
      <alignment/>
    </xf>
    <xf numFmtId="0" fontId="14" fillId="33" borderId="0" xfId="0" applyFont="1" applyFill="1" applyAlignment="1">
      <alignment/>
    </xf>
    <xf numFmtId="9" fontId="0" fillId="0" borderId="0" xfId="0" applyNumberFormat="1" applyAlignment="1">
      <alignment/>
    </xf>
    <xf numFmtId="0" fontId="17" fillId="0" borderId="0" xfId="0" applyFont="1" applyAlignment="1">
      <alignment/>
    </xf>
    <xf numFmtId="0" fontId="4" fillId="0" borderId="0" xfId="0" applyFont="1" applyAlignment="1">
      <alignment/>
    </xf>
    <xf numFmtId="0" fontId="3" fillId="0" borderId="10" xfId="0" applyFont="1" applyBorder="1" applyAlignment="1">
      <alignment/>
    </xf>
    <xf numFmtId="0" fontId="0" fillId="0" borderId="32" xfId="0" applyBorder="1" applyAlignment="1">
      <alignment/>
    </xf>
    <xf numFmtId="0" fontId="0" fillId="0" borderId="33" xfId="0" applyBorder="1" applyAlignment="1">
      <alignment/>
    </xf>
    <xf numFmtId="0" fontId="3" fillId="0" borderId="34" xfId="0" applyFont="1" applyBorder="1" applyAlignment="1">
      <alignment/>
    </xf>
    <xf numFmtId="0" fontId="0" fillId="0" borderId="29" xfId="0" applyBorder="1" applyAlignment="1">
      <alignment/>
    </xf>
    <xf numFmtId="0" fontId="0" fillId="0" borderId="30" xfId="0" applyBorder="1" applyAlignment="1">
      <alignment horizontal="center"/>
    </xf>
    <xf numFmtId="0" fontId="0" fillId="0" borderId="31" xfId="0" applyBorder="1" applyAlignment="1">
      <alignment horizontal="center"/>
    </xf>
    <xf numFmtId="0" fontId="3" fillId="0" borderId="32" xfId="0" applyFont="1" applyBorder="1" applyAlignment="1">
      <alignment/>
    </xf>
    <xf numFmtId="1" fontId="0" fillId="0" borderId="35" xfId="0" applyNumberFormat="1" applyFont="1" applyFill="1" applyBorder="1" applyAlignment="1" applyProtection="1">
      <alignment horizontal="center"/>
      <protection hidden="1"/>
    </xf>
    <xf numFmtId="1" fontId="0" fillId="0" borderId="36" xfId="0" applyNumberFormat="1" applyFont="1" applyFill="1" applyBorder="1" applyAlignment="1" applyProtection="1">
      <alignment horizontal="center"/>
      <protection hidden="1"/>
    </xf>
    <xf numFmtId="1" fontId="0" fillId="0" borderId="37" xfId="0" applyNumberFormat="1" applyFont="1" applyFill="1" applyBorder="1" applyAlignment="1" applyProtection="1">
      <alignment horizontal="center"/>
      <protection hidden="1"/>
    </xf>
    <xf numFmtId="1" fontId="0" fillId="0" borderId="38" xfId="0" applyNumberFormat="1" applyFont="1" applyFill="1" applyBorder="1" applyAlignment="1" applyProtection="1">
      <alignment horizontal="center"/>
      <protection hidden="1"/>
    </xf>
    <xf numFmtId="1" fontId="0" fillId="0" borderId="39" xfId="0" applyNumberFormat="1" applyFont="1" applyFill="1" applyBorder="1" applyAlignment="1" applyProtection="1">
      <alignment horizontal="center"/>
      <protection hidden="1"/>
    </xf>
    <xf numFmtId="10" fontId="0" fillId="0" borderId="13" xfId="0" applyNumberFormat="1" applyBorder="1" applyAlignment="1">
      <alignment horizontal="center"/>
    </xf>
    <xf numFmtId="10" fontId="0" fillId="0" borderId="32" xfId="0" applyNumberFormat="1" applyBorder="1" applyAlignment="1">
      <alignment horizontal="center"/>
    </xf>
    <xf numFmtId="1" fontId="0" fillId="0" borderId="13" xfId="0" applyNumberFormat="1" applyBorder="1" applyAlignment="1">
      <alignment horizontal="center"/>
    </xf>
    <xf numFmtId="1" fontId="0" fillId="0" borderId="32" xfId="0" applyNumberFormat="1" applyBorder="1" applyAlignment="1">
      <alignment horizontal="center"/>
    </xf>
    <xf numFmtId="0" fontId="3" fillId="0" borderId="33" xfId="0" applyFont="1" applyBorder="1" applyAlignment="1">
      <alignment horizontal="center"/>
    </xf>
    <xf numFmtId="0" fontId="3" fillId="0" borderId="40" xfId="0" applyFont="1" applyBorder="1" applyAlignment="1">
      <alignment horizontal="center"/>
    </xf>
    <xf numFmtId="1" fontId="0" fillId="0" borderId="41" xfId="0" applyNumberFormat="1" applyBorder="1" applyAlignment="1">
      <alignment horizontal="center"/>
    </xf>
    <xf numFmtId="1" fontId="0" fillId="0" borderId="42" xfId="0" applyNumberFormat="1" applyBorder="1" applyAlignment="1">
      <alignment horizontal="center"/>
    </xf>
    <xf numFmtId="1" fontId="0" fillId="0" borderId="43" xfId="0" applyNumberFormat="1" applyBorder="1" applyAlignment="1">
      <alignment horizontal="center"/>
    </xf>
    <xf numFmtId="0" fontId="16" fillId="41" borderId="14" xfId="0" applyFont="1" applyFill="1" applyBorder="1" applyAlignment="1">
      <alignment/>
    </xf>
    <xf numFmtId="179" fontId="0" fillId="33" borderId="0" xfId="0" applyNumberFormat="1" applyFill="1" applyAlignment="1">
      <alignment wrapText="1"/>
    </xf>
    <xf numFmtId="0" fontId="16" fillId="41" borderId="29" xfId="0" applyFont="1" applyFill="1" applyBorder="1" applyAlignment="1">
      <alignment/>
    </xf>
    <xf numFmtId="0" fontId="16" fillId="41" borderId="30" xfId="0" applyFont="1" applyFill="1" applyBorder="1" applyAlignment="1">
      <alignment/>
    </xf>
    <xf numFmtId="0" fontId="16" fillId="41" borderId="31" xfId="0" applyFont="1" applyFill="1" applyBorder="1" applyAlignment="1">
      <alignment/>
    </xf>
    <xf numFmtId="0" fontId="16" fillId="41" borderId="18" xfId="0" applyFont="1" applyFill="1" applyBorder="1" applyAlignment="1">
      <alignment wrapText="1"/>
    </xf>
    <xf numFmtId="17" fontId="16" fillId="41" borderId="14" xfId="0" applyNumberFormat="1" applyFont="1" applyFill="1" applyBorder="1" applyAlignment="1">
      <alignment/>
    </xf>
    <xf numFmtId="0" fontId="18" fillId="34" borderId="12" xfId="0" applyFont="1" applyFill="1" applyBorder="1" applyAlignment="1">
      <alignment/>
    </xf>
    <xf numFmtId="0" fontId="18" fillId="34" borderId="14" xfId="0" applyFont="1" applyFill="1" applyBorder="1" applyAlignment="1">
      <alignment/>
    </xf>
    <xf numFmtId="0" fontId="0" fillId="41" borderId="19" xfId="0" applyFill="1" applyBorder="1" applyAlignment="1">
      <alignment wrapText="1"/>
    </xf>
    <xf numFmtId="0" fontId="3" fillId="34" borderId="12" xfId="0" applyFont="1" applyFill="1" applyBorder="1" applyAlignment="1">
      <alignment wrapText="1"/>
    </xf>
    <xf numFmtId="0" fontId="3" fillId="34" borderId="14" xfId="0" applyFont="1" applyFill="1" applyBorder="1" applyAlignment="1">
      <alignment wrapText="1"/>
    </xf>
    <xf numFmtId="0" fontId="0" fillId="41" borderId="0" xfId="0" applyFill="1" applyBorder="1" applyAlignment="1">
      <alignment wrapText="1"/>
    </xf>
    <xf numFmtId="0" fontId="16" fillId="41" borderId="0" xfId="0" applyFont="1" applyFill="1" applyBorder="1" applyAlignment="1">
      <alignment wrapText="1"/>
    </xf>
    <xf numFmtId="0" fontId="4" fillId="34" borderId="15" xfId="0" applyFont="1" applyFill="1" applyBorder="1" applyAlignment="1">
      <alignment wrapText="1"/>
    </xf>
    <xf numFmtId="0" fontId="4" fillId="34" borderId="19" xfId="0" applyFont="1" applyFill="1" applyBorder="1" applyAlignment="1">
      <alignment wrapText="1"/>
    </xf>
    <xf numFmtId="0" fontId="16" fillId="41" borderId="19" xfId="0" applyFont="1" applyFill="1" applyBorder="1" applyAlignment="1">
      <alignment wrapText="1"/>
    </xf>
    <xf numFmtId="0" fontId="19" fillId="0" borderId="0" xfId="0" applyFont="1" applyAlignment="1">
      <alignment/>
    </xf>
    <xf numFmtId="0" fontId="14" fillId="0" borderId="0" xfId="0" applyFont="1" applyAlignment="1">
      <alignment/>
    </xf>
    <xf numFmtId="0" fontId="0" fillId="37" borderId="24" xfId="0" applyFont="1" applyFill="1" applyBorder="1" applyAlignment="1" applyProtection="1">
      <alignment horizontal="center" vertical="top"/>
      <protection locked="0"/>
    </xf>
    <xf numFmtId="174" fontId="0" fillId="0" borderId="0" xfId="0" applyNumberFormat="1" applyAlignment="1">
      <alignment/>
    </xf>
    <xf numFmtId="0" fontId="4" fillId="0" borderId="13" xfId="0" applyFont="1" applyBorder="1" applyAlignment="1">
      <alignment/>
    </xf>
    <xf numFmtId="0" fontId="0" fillId="0" borderId="0" xfId="0" applyBorder="1" applyAlignment="1">
      <alignment horizontal="center"/>
    </xf>
    <xf numFmtId="1" fontId="0" fillId="0" borderId="44" xfId="0" applyNumberFormat="1" applyFont="1" applyFill="1" applyBorder="1" applyAlignment="1" applyProtection="1">
      <alignment horizontal="center"/>
      <protection hidden="1"/>
    </xf>
    <xf numFmtId="0" fontId="0" fillId="0" borderId="30" xfId="0" applyBorder="1" applyAlignment="1">
      <alignment horizontal="center" vertical="top"/>
    </xf>
    <xf numFmtId="0" fontId="0" fillId="0" borderId="31" xfId="0" applyBorder="1" applyAlignment="1">
      <alignment horizontal="center" vertical="top"/>
    </xf>
    <xf numFmtId="0" fontId="17" fillId="0" borderId="0" xfId="0" applyFont="1" applyAlignment="1">
      <alignment vertical="top"/>
    </xf>
    <xf numFmtId="0" fontId="20" fillId="33" borderId="11" xfId="0" applyFont="1" applyFill="1" applyBorder="1" applyAlignment="1">
      <alignment/>
    </xf>
    <xf numFmtId="0" fontId="6" fillId="41" borderId="0" xfId="0" applyFont="1" applyFill="1" applyBorder="1" applyAlignment="1">
      <alignment wrapText="1"/>
    </xf>
    <xf numFmtId="10" fontId="0" fillId="0" borderId="0" xfId="0" applyNumberFormat="1" applyBorder="1" applyAlignment="1">
      <alignment horizontal="center"/>
    </xf>
    <xf numFmtId="1" fontId="0" fillId="0" borderId="0" xfId="0" applyNumberFormat="1" applyBorder="1" applyAlignment="1">
      <alignment horizontal="center"/>
    </xf>
    <xf numFmtId="1" fontId="0" fillId="0" borderId="0" xfId="0" applyNumberFormat="1" applyFont="1" applyFill="1" applyBorder="1" applyAlignment="1" applyProtection="1">
      <alignment horizontal="center"/>
      <protection hidden="1"/>
    </xf>
    <xf numFmtId="0" fontId="4" fillId="0" borderId="0" xfId="0" applyFont="1" applyBorder="1" applyAlignment="1">
      <alignment/>
    </xf>
    <xf numFmtId="1" fontId="3" fillId="0" borderId="38" xfId="0" applyNumberFormat="1" applyFont="1" applyFill="1" applyBorder="1" applyAlignment="1" applyProtection="1">
      <alignment horizontal="center"/>
      <protection hidden="1"/>
    </xf>
    <xf numFmtId="0" fontId="0" fillId="41" borderId="14" xfId="0" applyFill="1" applyBorder="1" applyAlignment="1">
      <alignment/>
    </xf>
    <xf numFmtId="0" fontId="0" fillId="41" borderId="18" xfId="0" applyFill="1" applyBorder="1" applyAlignment="1">
      <alignment wrapText="1"/>
    </xf>
    <xf numFmtId="0" fontId="2" fillId="33" borderId="0" xfId="0" applyFont="1" applyFill="1" applyAlignment="1">
      <alignment/>
    </xf>
    <xf numFmtId="0" fontId="14" fillId="33" borderId="0" xfId="0" applyFont="1" applyFill="1" applyAlignment="1" applyProtection="1">
      <alignment horizontal="center"/>
      <protection/>
    </xf>
    <xf numFmtId="0" fontId="14" fillId="39" borderId="0" xfId="0" applyFont="1" applyFill="1" applyBorder="1" applyAlignment="1" applyProtection="1">
      <alignment/>
      <protection/>
    </xf>
    <xf numFmtId="0" fontId="14" fillId="33" borderId="0" xfId="0" applyFont="1" applyFill="1" applyAlignment="1" applyProtection="1">
      <alignment/>
      <protection/>
    </xf>
    <xf numFmtId="0" fontId="0" fillId="37" borderId="24" xfId="0" applyFill="1" applyBorder="1" applyAlignment="1" applyProtection="1">
      <alignment horizontal="center"/>
      <protection locked="0"/>
    </xf>
    <xf numFmtId="0" fontId="0" fillId="41" borderId="0" xfId="0" applyFill="1" applyBorder="1" applyAlignment="1">
      <alignment/>
    </xf>
    <xf numFmtId="0" fontId="16" fillId="41" borderId="0" xfId="0" applyFont="1" applyFill="1" applyBorder="1" applyAlignment="1">
      <alignment/>
    </xf>
    <xf numFmtId="0" fontId="16" fillId="41" borderId="14" xfId="0" applyFont="1" applyFill="1" applyBorder="1" applyAlignment="1">
      <alignment wrapText="1"/>
    </xf>
    <xf numFmtId="0" fontId="0" fillId="33" borderId="0" xfId="0" applyFill="1" applyBorder="1" applyAlignment="1">
      <alignment vertical="top"/>
    </xf>
    <xf numFmtId="0" fontId="0" fillId="0" borderId="30" xfId="0" applyBorder="1" applyAlignment="1">
      <alignment horizontal="center" wrapText="1"/>
    </xf>
    <xf numFmtId="0" fontId="14" fillId="0" borderId="0" xfId="0" applyFont="1" applyBorder="1" applyAlignment="1">
      <alignment/>
    </xf>
    <xf numFmtId="0" fontId="17" fillId="0" borderId="0" xfId="0" applyFont="1" applyAlignment="1">
      <alignment/>
    </xf>
    <xf numFmtId="0" fontId="17" fillId="0" borderId="0" xfId="0" applyFont="1" applyAlignment="1">
      <alignment vertical="top"/>
    </xf>
    <xf numFmtId="0" fontId="19" fillId="33" borderId="0" xfId="0" applyFont="1" applyFill="1" applyBorder="1" applyAlignment="1" applyProtection="1">
      <alignment/>
      <protection/>
    </xf>
    <xf numFmtId="0" fontId="24" fillId="33" borderId="0" xfId="0" applyFont="1" applyFill="1" applyBorder="1" applyAlignment="1" applyProtection="1">
      <alignment horizontal="center"/>
      <protection/>
    </xf>
    <xf numFmtId="0" fontId="14" fillId="33" borderId="0" xfId="0" applyFont="1" applyFill="1" applyBorder="1" applyAlignment="1" applyProtection="1">
      <alignment/>
      <protection/>
    </xf>
    <xf numFmtId="0" fontId="19" fillId="33" borderId="0" xfId="0" applyFont="1" applyFill="1" applyBorder="1" applyAlignment="1" applyProtection="1">
      <alignment horizontal="center"/>
      <protection/>
    </xf>
    <xf numFmtId="0" fontId="14" fillId="33" borderId="0" xfId="0" applyFont="1" applyFill="1" applyBorder="1" applyAlignment="1" applyProtection="1">
      <alignment horizontal="center"/>
      <protection/>
    </xf>
    <xf numFmtId="0" fontId="19" fillId="33" borderId="0" xfId="0" applyFont="1" applyFill="1" applyBorder="1" applyAlignment="1" applyProtection="1">
      <alignment horizontal="center" vertical="center" wrapText="1"/>
      <protection/>
    </xf>
    <xf numFmtId="0" fontId="25" fillId="33" borderId="0" xfId="0" applyFont="1" applyFill="1" applyBorder="1" applyAlignment="1" applyProtection="1">
      <alignment/>
      <protection/>
    </xf>
    <xf numFmtId="0" fontId="20" fillId="33" borderId="0"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protection/>
    </xf>
    <xf numFmtId="0" fontId="4" fillId="33" borderId="11" xfId="0" applyFont="1" applyFill="1" applyBorder="1" applyAlignment="1">
      <alignment/>
    </xf>
    <xf numFmtId="0" fontId="14" fillId="33" borderId="11" xfId="0" applyFont="1" applyFill="1" applyBorder="1" applyAlignment="1">
      <alignment/>
    </xf>
    <xf numFmtId="0" fontId="0" fillId="33" borderId="0" xfId="0" applyFill="1" applyAlignment="1" applyProtection="1">
      <alignment/>
      <protection locked="0"/>
    </xf>
    <xf numFmtId="0" fontId="14" fillId="33" borderId="0" xfId="0" applyFont="1" applyFill="1" applyBorder="1" applyAlignment="1" applyProtection="1">
      <alignment horizontal="center"/>
      <protection/>
    </xf>
    <xf numFmtId="49" fontId="0" fillId="33" borderId="0" xfId="0" applyNumberFormat="1" applyFont="1" applyFill="1" applyAlignment="1">
      <alignment vertical="top" wrapText="1"/>
    </xf>
    <xf numFmtId="49" fontId="0" fillId="33" borderId="0" xfId="0" applyNumberFormat="1" applyFont="1" applyFill="1" applyAlignment="1">
      <alignment vertical="top" wrapText="1"/>
    </xf>
    <xf numFmtId="49" fontId="3" fillId="33" borderId="0" xfId="0" applyNumberFormat="1" applyFont="1" applyFill="1" applyAlignment="1">
      <alignment vertical="top" wrapText="1"/>
    </xf>
    <xf numFmtId="49" fontId="3" fillId="33" borderId="13" xfId="0" applyNumberFormat="1" applyFont="1" applyFill="1" applyBorder="1" applyAlignment="1">
      <alignment vertical="top" wrapText="1"/>
    </xf>
    <xf numFmtId="49" fontId="0" fillId="33" borderId="0" xfId="0" applyNumberFormat="1" applyFont="1" applyFill="1" applyBorder="1" applyAlignment="1">
      <alignment vertical="top" wrapText="1"/>
    </xf>
    <xf numFmtId="49" fontId="26" fillId="33" borderId="45" xfId="0" applyNumberFormat="1" applyFont="1" applyFill="1" applyBorder="1" applyAlignment="1">
      <alignment vertical="top" wrapText="1"/>
    </xf>
    <xf numFmtId="49" fontId="0" fillId="33" borderId="46" xfId="0" applyNumberFormat="1" applyFont="1" applyFill="1" applyBorder="1" applyAlignment="1">
      <alignment vertical="top" wrapText="1"/>
    </xf>
    <xf numFmtId="49" fontId="26" fillId="33" borderId="47" xfId="0" applyNumberFormat="1" applyFont="1" applyFill="1" applyBorder="1" applyAlignment="1">
      <alignment vertical="top" wrapText="1"/>
    </xf>
    <xf numFmtId="49" fontId="0" fillId="33" borderId="48" xfId="0" applyNumberFormat="1" applyFont="1" applyFill="1" applyBorder="1" applyAlignment="1" quotePrefix="1">
      <alignment vertical="top" wrapText="1"/>
    </xf>
    <xf numFmtId="49" fontId="0" fillId="33" borderId="48" xfId="0" applyNumberFormat="1" applyFont="1" applyFill="1" applyBorder="1" applyAlignment="1">
      <alignment vertical="top" wrapText="1"/>
    </xf>
    <xf numFmtId="49" fontId="0" fillId="33" borderId="47" xfId="0" applyNumberFormat="1" applyFont="1" applyFill="1" applyBorder="1" applyAlignment="1">
      <alignment vertical="top" wrapText="1"/>
    </xf>
    <xf numFmtId="49" fontId="26" fillId="33" borderId="49" xfId="0" applyNumberFormat="1" applyFont="1" applyFill="1" applyBorder="1" applyAlignment="1">
      <alignment vertical="top" wrapText="1"/>
    </xf>
    <xf numFmtId="49" fontId="0" fillId="33" borderId="50" xfId="0" applyNumberFormat="1" applyFont="1" applyFill="1" applyBorder="1" applyAlignment="1" quotePrefix="1">
      <alignment vertical="top" wrapText="1"/>
    </xf>
    <xf numFmtId="49" fontId="0" fillId="33" borderId="50" xfId="0" applyNumberFormat="1" applyFont="1" applyFill="1" applyBorder="1" applyAlignment="1">
      <alignment vertical="top" wrapText="1"/>
    </xf>
    <xf numFmtId="49" fontId="0" fillId="33" borderId="49" xfId="0" applyNumberFormat="1" applyFont="1" applyFill="1" applyBorder="1" applyAlignment="1">
      <alignment vertical="top" wrapText="1"/>
    </xf>
    <xf numFmtId="0" fontId="3" fillId="0" borderId="34" xfId="0" applyFont="1" applyBorder="1" applyAlignment="1" applyProtection="1">
      <alignment/>
      <protection/>
    </xf>
    <xf numFmtId="0" fontId="3" fillId="0" borderId="0" xfId="0" applyFont="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horizontal="center"/>
      <protection/>
    </xf>
    <xf numFmtId="0" fontId="19" fillId="0" borderId="0" xfId="0" applyFont="1" applyAlignment="1" applyProtection="1">
      <alignment/>
      <protection/>
    </xf>
    <xf numFmtId="0" fontId="17" fillId="0" borderId="0" xfId="0" applyFont="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0" fillId="0" borderId="31" xfId="0" applyBorder="1" applyAlignment="1" applyProtection="1">
      <alignment horizontal="center"/>
      <protection/>
    </xf>
    <xf numFmtId="0" fontId="0" fillId="0" borderId="0" xfId="0" applyBorder="1" applyAlignment="1" applyProtection="1">
      <alignment horizontal="center"/>
      <protection/>
    </xf>
    <xf numFmtId="0" fontId="4" fillId="0" borderId="0" xfId="0" applyFont="1" applyAlignment="1" applyProtection="1">
      <alignment/>
      <protection/>
    </xf>
    <xf numFmtId="0" fontId="3" fillId="0" borderId="10"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wrapText="1"/>
      <protection/>
    </xf>
    <xf numFmtId="0" fontId="3" fillId="0" borderId="40" xfId="0" applyFont="1" applyBorder="1" applyAlignment="1" applyProtection="1">
      <alignment horizontal="center"/>
      <protection/>
    </xf>
    <xf numFmtId="174" fontId="0" fillId="0" borderId="13" xfId="0" applyNumberFormat="1" applyBorder="1" applyAlignment="1" applyProtection="1">
      <alignment horizontal="center"/>
      <protection/>
    </xf>
    <xf numFmtId="1" fontId="0" fillId="0" borderId="13" xfId="0" applyNumberFormat="1" applyBorder="1" applyAlignment="1" applyProtection="1">
      <alignment horizontal="center"/>
      <protection/>
    </xf>
    <xf numFmtId="0" fontId="4" fillId="0" borderId="42" xfId="0" applyFont="1" applyBorder="1" applyAlignment="1" applyProtection="1">
      <alignment/>
      <protection/>
    </xf>
    <xf numFmtId="174" fontId="3" fillId="0" borderId="13" xfId="0" applyNumberFormat="1" applyFont="1" applyBorder="1" applyAlignment="1" applyProtection="1">
      <alignment horizontal="center"/>
      <protection/>
    </xf>
    <xf numFmtId="174" fontId="0" fillId="0" borderId="32" xfId="0" applyNumberFormat="1" applyBorder="1" applyAlignment="1" applyProtection="1">
      <alignment horizontal="center"/>
      <protection/>
    </xf>
    <xf numFmtId="1" fontId="0" fillId="0" borderId="43" xfId="0" applyNumberFormat="1" applyBorder="1" applyAlignment="1" applyProtection="1">
      <alignment horizontal="center"/>
      <protection/>
    </xf>
    <xf numFmtId="0" fontId="4" fillId="0" borderId="43" xfId="0" applyFont="1" applyBorder="1" applyAlignment="1" applyProtection="1">
      <alignment/>
      <protection/>
    </xf>
    <xf numFmtId="10" fontId="0" fillId="0" borderId="0" xfId="0" applyNumberFormat="1" applyBorder="1" applyAlignment="1" applyProtection="1">
      <alignment horizontal="center"/>
      <protection/>
    </xf>
    <xf numFmtId="1" fontId="0" fillId="0" borderId="0" xfId="0" applyNumberFormat="1" applyBorder="1" applyAlignment="1" applyProtection="1">
      <alignment horizontal="center"/>
      <protection/>
    </xf>
    <xf numFmtId="0" fontId="4" fillId="0" borderId="0" xfId="0" applyFont="1" applyBorder="1" applyAlignment="1" applyProtection="1">
      <alignment/>
      <protection/>
    </xf>
    <xf numFmtId="0" fontId="0" fillId="0" borderId="0" xfId="0" applyAlignment="1" applyProtection="1">
      <alignment/>
      <protection locked="0"/>
    </xf>
    <xf numFmtId="0" fontId="25" fillId="33" borderId="0" xfId="0" applyFont="1" applyFill="1" applyBorder="1" applyAlignment="1" applyProtection="1">
      <alignment/>
      <protection locked="0"/>
    </xf>
    <xf numFmtId="0" fontId="0" fillId="0" borderId="13" xfId="0" applyBorder="1" applyAlignment="1" applyProtection="1">
      <alignment/>
      <protection hidden="1"/>
    </xf>
    <xf numFmtId="0" fontId="0" fillId="0" borderId="0" xfId="0" applyAlignment="1" applyProtection="1">
      <alignment wrapText="1"/>
      <protection hidden="1"/>
    </xf>
    <xf numFmtId="0" fontId="0" fillId="0" borderId="0" xfId="0" applyBorder="1" applyAlignment="1" applyProtection="1">
      <alignment/>
      <protection hidden="1"/>
    </xf>
    <xf numFmtId="0" fontId="3" fillId="0" borderId="0" xfId="0" applyFont="1" applyAlignment="1" applyProtection="1">
      <alignment wrapText="1"/>
      <protection hidden="1"/>
    </xf>
    <xf numFmtId="0" fontId="0" fillId="0" borderId="0" xfId="0" applyFill="1" applyBorder="1" applyAlignment="1" applyProtection="1">
      <alignment/>
      <protection hidden="1"/>
    </xf>
    <xf numFmtId="0" fontId="0" fillId="0" borderId="14" xfId="0" applyBorder="1" applyAlignment="1" applyProtection="1">
      <alignment/>
      <protection hidden="1"/>
    </xf>
    <xf numFmtId="0" fontId="19" fillId="33" borderId="0" xfId="0" applyFont="1" applyFill="1" applyBorder="1" applyAlignment="1" applyProtection="1">
      <alignment/>
      <protection locked="0"/>
    </xf>
    <xf numFmtId="0" fontId="20" fillId="33" borderId="0" xfId="0" applyFont="1" applyFill="1" applyBorder="1" applyAlignment="1">
      <alignment/>
    </xf>
    <xf numFmtId="0" fontId="14" fillId="33" borderId="0" xfId="0" applyFont="1" applyFill="1" applyBorder="1" applyAlignment="1">
      <alignment/>
    </xf>
    <xf numFmtId="0" fontId="20" fillId="0" borderId="11" xfId="0" applyFont="1" applyFill="1" applyBorder="1" applyAlignment="1">
      <alignment/>
    </xf>
    <xf numFmtId="0" fontId="20" fillId="0" borderId="0" xfId="0" applyFont="1" applyFill="1" applyBorder="1" applyAlignment="1">
      <alignment/>
    </xf>
    <xf numFmtId="0" fontId="14" fillId="0" borderId="0" xfId="0" applyFont="1" applyFill="1" applyBorder="1" applyAlignment="1">
      <alignment/>
    </xf>
    <xf numFmtId="0" fontId="20" fillId="0" borderId="0" xfId="0" applyFont="1" applyBorder="1" applyAlignment="1" applyProtection="1">
      <alignment/>
      <protection/>
    </xf>
    <xf numFmtId="0" fontId="20" fillId="0" borderId="0" xfId="0" applyFont="1" applyBorder="1" applyAlignment="1">
      <alignment/>
    </xf>
    <xf numFmtId="0" fontId="3" fillId="41" borderId="51" xfId="0" applyFont="1" applyFill="1" applyBorder="1" applyAlignment="1" applyProtection="1">
      <alignment/>
      <protection/>
    </xf>
    <xf numFmtId="0" fontId="3" fillId="41" borderId="0" xfId="0" applyFont="1" applyFill="1" applyBorder="1" applyAlignment="1" applyProtection="1">
      <alignment/>
      <protection/>
    </xf>
    <xf numFmtId="0" fontId="3" fillId="41" borderId="52" xfId="0" applyFont="1" applyFill="1" applyBorder="1" applyAlignment="1" applyProtection="1">
      <alignment/>
      <protection/>
    </xf>
    <xf numFmtId="0" fontId="0" fillId="41" borderId="51" xfId="0" applyFill="1" applyBorder="1" applyAlignment="1">
      <alignment/>
    </xf>
    <xf numFmtId="0" fontId="0" fillId="41" borderId="52" xfId="0" applyFill="1" applyBorder="1" applyAlignment="1">
      <alignment/>
    </xf>
    <xf numFmtId="0" fontId="3" fillId="41" borderId="0" xfId="0" applyFont="1" applyFill="1" applyBorder="1" applyAlignment="1">
      <alignment/>
    </xf>
    <xf numFmtId="0" fontId="0" fillId="41" borderId="12" xfId="0" applyFill="1" applyBorder="1" applyAlignment="1">
      <alignment/>
    </xf>
    <xf numFmtId="0" fontId="0" fillId="41" borderId="11" xfId="0" applyFill="1" applyBorder="1" applyAlignment="1">
      <alignment/>
    </xf>
    <xf numFmtId="0" fontId="0" fillId="41" borderId="12" xfId="0" applyFill="1" applyBorder="1" applyAlignment="1">
      <alignment/>
    </xf>
    <xf numFmtId="0" fontId="3" fillId="41" borderId="51" xfId="0" applyFont="1" applyFill="1" applyBorder="1" applyAlignment="1">
      <alignment/>
    </xf>
    <xf numFmtId="0" fontId="3" fillId="41" borderId="52" xfId="0" applyFont="1" applyFill="1" applyBorder="1" applyAlignment="1">
      <alignment/>
    </xf>
    <xf numFmtId="0" fontId="6" fillId="33" borderId="33" xfId="0" applyFont="1" applyFill="1" applyBorder="1" applyAlignment="1">
      <alignment/>
    </xf>
    <xf numFmtId="0" fontId="17" fillId="0" borderId="0" xfId="0" applyFont="1" applyBorder="1" applyAlignment="1">
      <alignment/>
    </xf>
    <xf numFmtId="0" fontId="4" fillId="0" borderId="0" xfId="0" applyFont="1" applyFill="1" applyBorder="1" applyAlignment="1">
      <alignment/>
    </xf>
    <xf numFmtId="0" fontId="14" fillId="0" borderId="11" xfId="0" applyFont="1" applyFill="1" applyBorder="1" applyAlignment="1">
      <alignment/>
    </xf>
    <xf numFmtId="1" fontId="0" fillId="0" borderId="10" xfId="0" applyNumberFormat="1" applyBorder="1" applyAlignment="1">
      <alignment horizontal="center"/>
    </xf>
    <xf numFmtId="0" fontId="0" fillId="35" borderId="24" xfId="0" applyFill="1" applyBorder="1" applyAlignment="1" applyProtection="1" quotePrefix="1">
      <alignment horizontal="center"/>
      <protection locked="0"/>
    </xf>
    <xf numFmtId="0" fontId="0" fillId="41" borderId="34" xfId="0" applyFill="1" applyBorder="1" applyAlignment="1" applyProtection="1" quotePrefix="1">
      <alignment horizontal="left"/>
      <protection locked="0"/>
    </xf>
    <xf numFmtId="0" fontId="0" fillId="35" borderId="24" xfId="0" applyFont="1" applyFill="1" applyBorder="1" applyAlignment="1" applyProtection="1" quotePrefix="1">
      <alignment horizontal="center" vertical="top" wrapText="1"/>
      <protection locked="0"/>
    </xf>
    <xf numFmtId="0" fontId="14" fillId="0" borderId="0" xfId="0" applyFont="1" applyAlignment="1" quotePrefix="1">
      <alignment horizontal="left"/>
    </xf>
    <xf numFmtId="1" fontId="0" fillId="38" borderId="26" xfId="0" applyNumberFormat="1" applyFont="1" applyFill="1" applyBorder="1" applyAlignment="1" applyProtection="1">
      <alignment horizontal="center" vertical="top"/>
      <protection locked="0"/>
    </xf>
    <xf numFmtId="0" fontId="0" fillId="33" borderId="0" xfId="0" applyFill="1" applyAlignment="1" applyProtection="1" quotePrefix="1">
      <alignment horizontal="left"/>
      <protection hidden="1"/>
    </xf>
    <xf numFmtId="0" fontId="6" fillId="33" borderId="0" xfId="0" applyFont="1" applyFill="1" applyBorder="1" applyAlignment="1">
      <alignment horizontal="right" wrapText="1"/>
    </xf>
    <xf numFmtId="0" fontId="3" fillId="0" borderId="33" xfId="0" applyFont="1" applyBorder="1" applyAlignment="1" applyProtection="1" quotePrefix="1">
      <alignment horizontal="center"/>
      <protection/>
    </xf>
    <xf numFmtId="0" fontId="3" fillId="0" borderId="32" xfId="0" applyFont="1" applyBorder="1" applyAlignment="1" applyProtection="1" quotePrefix="1">
      <alignment horizontal="center" wrapText="1"/>
      <protection/>
    </xf>
    <xf numFmtId="1" fontId="0" fillId="38" borderId="26" xfId="0" applyNumberFormat="1" applyFill="1" applyBorder="1" applyAlignment="1" applyProtection="1">
      <alignment horizontal="center"/>
      <protection locked="0"/>
    </xf>
    <xf numFmtId="173" fontId="0" fillId="37" borderId="24" xfId="0" applyNumberFormat="1" applyFont="1" applyFill="1" applyBorder="1" applyAlignment="1" applyProtection="1">
      <alignment horizontal="center"/>
      <protection locked="0"/>
    </xf>
    <xf numFmtId="49" fontId="0" fillId="33" borderId="0" xfId="0" applyNumberFormat="1" applyFont="1" applyFill="1" applyAlignment="1" quotePrefix="1">
      <alignment horizontal="left" vertical="top" wrapText="1"/>
    </xf>
    <xf numFmtId="0" fontId="0" fillId="33" borderId="0" xfId="0" applyFont="1" applyFill="1" applyBorder="1" applyAlignment="1" applyProtection="1" quotePrefix="1">
      <alignment horizontal="left"/>
      <protection/>
    </xf>
    <xf numFmtId="0" fontId="3" fillId="0" borderId="32" xfId="0" applyFont="1" applyBorder="1" applyAlignment="1" quotePrefix="1">
      <alignment horizontal="center"/>
    </xf>
    <xf numFmtId="0" fontId="3" fillId="0" borderId="33" xfId="0" applyFont="1" applyBorder="1" applyAlignment="1" quotePrefix="1">
      <alignment horizontal="center"/>
    </xf>
    <xf numFmtId="0" fontId="0" fillId="0" borderId="30" xfId="0"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4" fillId="0" borderId="31" xfId="0" applyFont="1" applyBorder="1" applyAlignment="1">
      <alignment vertical="center"/>
    </xf>
    <xf numFmtId="0" fontId="0" fillId="0" borderId="31" xfId="0" applyBorder="1" applyAlignment="1">
      <alignment vertical="center"/>
    </xf>
    <xf numFmtId="0" fontId="3" fillId="0" borderId="32" xfId="0" applyFont="1" applyBorder="1" applyAlignment="1" quotePrefix="1">
      <alignment horizontal="center" wrapText="1"/>
    </xf>
    <xf numFmtId="0" fontId="3" fillId="0" borderId="40" xfId="0" applyFont="1" applyBorder="1" applyAlignment="1" quotePrefix="1">
      <alignment horizontal="center"/>
    </xf>
    <xf numFmtId="0" fontId="3" fillId="0" borderId="40" xfId="0" applyFont="1" applyBorder="1" applyAlignment="1" quotePrefix="1">
      <alignment horizontal="center" wrapText="1"/>
    </xf>
    <xf numFmtId="0" fontId="3" fillId="0" borderId="33" xfId="0" applyFont="1" applyBorder="1" applyAlignment="1" quotePrefix="1">
      <alignment horizontal="center" wrapText="1"/>
    </xf>
    <xf numFmtId="0" fontId="3" fillId="33" borderId="0" xfId="0" applyFont="1" applyFill="1" applyAlignment="1">
      <alignment/>
    </xf>
    <xf numFmtId="0" fontId="0" fillId="33" borderId="0" xfId="0" applyFill="1" applyAlignment="1" quotePrefix="1">
      <alignment horizontal="left"/>
    </xf>
    <xf numFmtId="0" fontId="0" fillId="0" borderId="0" xfId="0" applyFont="1" applyAlignment="1">
      <alignment/>
    </xf>
    <xf numFmtId="0" fontId="16" fillId="41" borderId="0" xfId="0" applyFont="1" applyFill="1" applyBorder="1" applyAlignment="1">
      <alignment wrapText="1"/>
    </xf>
    <xf numFmtId="49" fontId="0" fillId="33" borderId="46" xfId="0" applyNumberFormat="1" applyFont="1" applyFill="1" applyBorder="1" applyAlignment="1">
      <alignment vertical="top" wrapText="1"/>
    </xf>
    <xf numFmtId="0" fontId="85" fillId="33" borderId="0" xfId="0" applyFont="1" applyFill="1" applyBorder="1" applyAlignment="1" applyProtection="1">
      <alignment/>
      <protection/>
    </xf>
    <xf numFmtId="0" fontId="86" fillId="33" borderId="0" xfId="0" applyFont="1" applyFill="1" applyBorder="1" applyAlignment="1" applyProtection="1">
      <alignment/>
      <protection/>
    </xf>
    <xf numFmtId="49" fontId="3" fillId="33" borderId="0" xfId="0" applyNumberFormat="1" applyFont="1" applyFill="1" applyAlignment="1">
      <alignment vertical="top" wrapText="1"/>
    </xf>
    <xf numFmtId="0" fontId="0" fillId="42" borderId="0" xfId="0" applyFill="1" applyAlignment="1">
      <alignment/>
    </xf>
    <xf numFmtId="0" fontId="2" fillId="33" borderId="0" xfId="0" applyFont="1" applyFill="1" applyAlignment="1" applyProtection="1" quotePrefix="1">
      <alignment horizontal="center"/>
      <protection/>
    </xf>
    <xf numFmtId="0" fontId="0" fillId="33" borderId="0" xfId="0" applyFill="1" applyAlignment="1" applyProtection="1">
      <alignment horizontal="center"/>
      <protection/>
    </xf>
    <xf numFmtId="0" fontId="0" fillId="40" borderId="0" xfId="0" applyFont="1" applyFill="1" applyBorder="1" applyAlignment="1" applyProtection="1">
      <alignment horizontal="center"/>
      <protection/>
    </xf>
    <xf numFmtId="0" fontId="0" fillId="0" borderId="0" xfId="0" applyAlignment="1">
      <alignment horizontal="center"/>
    </xf>
    <xf numFmtId="0" fontId="0" fillId="33" borderId="34" xfId="0" applyFont="1" applyFill="1" applyBorder="1" applyAlignment="1" applyProtection="1" quotePrefix="1">
      <alignment horizontal="left"/>
      <protection/>
    </xf>
    <xf numFmtId="0" fontId="0" fillId="0" borderId="51" xfId="0" applyBorder="1" applyAlignment="1">
      <alignment/>
    </xf>
    <xf numFmtId="0" fontId="0" fillId="0" borderId="52" xfId="0" applyBorder="1" applyAlignment="1">
      <alignment/>
    </xf>
    <xf numFmtId="181" fontId="20" fillId="34" borderId="19" xfId="0" applyNumberFormat="1" applyFont="1" applyFill="1" applyBorder="1" applyAlignment="1">
      <alignment horizontal="center"/>
    </xf>
    <xf numFmtId="0" fontId="21" fillId="0" borderId="19" xfId="0" applyFont="1" applyBorder="1" applyAlignment="1">
      <alignment horizontal="center"/>
    </xf>
    <xf numFmtId="0" fontId="6" fillId="41" borderId="0" xfId="0" applyFont="1" applyFill="1" applyBorder="1" applyAlignment="1">
      <alignment vertical="top" wrapText="1"/>
    </xf>
    <xf numFmtId="0" fontId="14" fillId="33" borderId="0" xfId="0" applyFont="1" applyFill="1" applyBorder="1" applyAlignment="1" applyProtection="1">
      <alignment horizontal="center" wrapText="1"/>
      <protection/>
    </xf>
    <xf numFmtId="0" fontId="0" fillId="0" borderId="0" xfId="0" applyAlignment="1">
      <alignment wrapText="1"/>
    </xf>
    <xf numFmtId="0" fontId="3" fillId="0" borderId="10" xfId="0" applyFont="1" applyBorder="1" applyAlignment="1" applyProtection="1">
      <alignment horizontal="center"/>
      <protection/>
    </xf>
    <xf numFmtId="0" fontId="0" fillId="0" borderId="12" xfId="0" applyBorder="1" applyAlignment="1" applyProtection="1">
      <alignment horizontal="center"/>
      <protection/>
    </xf>
    <xf numFmtId="0" fontId="0" fillId="0" borderId="13" xfId="0" applyBorder="1" applyAlignment="1" applyProtection="1">
      <alignment wrapText="1"/>
      <protection/>
    </xf>
    <xf numFmtId="0" fontId="0" fillId="0" borderId="14" xfId="0" applyBorder="1" applyAlignment="1" applyProtection="1">
      <alignment wrapText="1"/>
      <protection/>
    </xf>
    <xf numFmtId="0" fontId="2" fillId="33" borderId="11" xfId="0" applyFont="1" applyFill="1" applyBorder="1" applyAlignment="1">
      <alignment wrapText="1"/>
    </xf>
    <xf numFmtId="0" fontId="0" fillId="0" borderId="11" xfId="0" applyBorder="1" applyAlignment="1">
      <alignment/>
    </xf>
    <xf numFmtId="0" fontId="14" fillId="33" borderId="0" xfId="0" applyFont="1" applyFill="1" applyBorder="1" applyAlignment="1">
      <alignment wrapText="1"/>
    </xf>
    <xf numFmtId="0" fontId="14" fillId="0" borderId="0" xfId="0" applyFont="1" applyAlignment="1">
      <alignment/>
    </xf>
    <xf numFmtId="0" fontId="4" fillId="33" borderId="0" xfId="0" applyFont="1" applyFill="1" applyBorder="1" applyAlignment="1">
      <alignment wrapText="1"/>
    </xf>
    <xf numFmtId="0" fontId="0" fillId="0" borderId="0" xfId="0" applyAlignment="1">
      <alignment/>
    </xf>
    <xf numFmtId="0" fontId="6" fillId="33" borderId="33" xfId="0" applyFont="1" applyFill="1" applyBorder="1" applyAlignment="1">
      <alignment wrapText="1"/>
    </xf>
    <xf numFmtId="0" fontId="0" fillId="0" borderId="33" xfId="0" applyBorder="1" applyAlignment="1">
      <alignment/>
    </xf>
    <xf numFmtId="0" fontId="0" fillId="0" borderId="40" xfId="0" applyBorder="1" applyAlignment="1">
      <alignment/>
    </xf>
    <xf numFmtId="0" fontId="0" fillId="0" borderId="14" xfId="0" applyBorder="1" applyAlignment="1">
      <alignment/>
    </xf>
    <xf numFmtId="0" fontId="3" fillId="0" borderId="10" xfId="0" applyFont="1" applyBorder="1" applyAlignment="1">
      <alignment horizontal="center"/>
    </xf>
    <xf numFmtId="0" fontId="0" fillId="0" borderId="12" xfId="0" applyBorder="1" applyAlignment="1">
      <alignment horizontal="center"/>
    </xf>
    <xf numFmtId="0" fontId="0" fillId="0" borderId="13" xfId="0" applyBorder="1" applyAlignment="1">
      <alignment wrapText="1"/>
    </xf>
    <xf numFmtId="0" fontId="0" fillId="0" borderId="14" xfId="0" applyBorder="1" applyAlignment="1">
      <alignment wrapText="1"/>
    </xf>
    <xf numFmtId="0" fontId="0" fillId="0" borderId="32" xfId="0" applyBorder="1" applyAlignment="1">
      <alignment vertical="top" wrapText="1"/>
    </xf>
    <xf numFmtId="0" fontId="0" fillId="0" borderId="40" xfId="0" applyBorder="1" applyAlignment="1">
      <alignment vertical="top" wrapText="1"/>
    </xf>
    <xf numFmtId="0" fontId="0" fillId="0" borderId="12" xfId="0" applyBorder="1" applyAlignment="1">
      <alignment/>
    </xf>
    <xf numFmtId="0" fontId="0" fillId="0" borderId="1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30" xfId="0" applyBorder="1" applyAlignment="1">
      <alignment vertical="center" wrapText="1"/>
    </xf>
    <xf numFmtId="0" fontId="0" fillId="0" borderId="13" xfId="0" applyBorder="1" applyAlignment="1">
      <alignment/>
    </xf>
    <xf numFmtId="0" fontId="0" fillId="42" borderId="0" xfId="0" applyFont="1" applyFill="1" applyAlignment="1">
      <alignment/>
    </xf>
    <xf numFmtId="0" fontId="0" fillId="42" borderId="0" xfId="0" applyFill="1" applyAlignment="1">
      <alignment/>
    </xf>
    <xf numFmtId="49" fontId="87" fillId="33" borderId="46" xfId="0" applyNumberFormat="1" applyFont="1" applyFill="1" applyBorder="1" applyAlignment="1">
      <alignment vertical="top" wrapText="1"/>
    </xf>
    <xf numFmtId="49" fontId="87" fillId="33" borderId="45" xfId="0" applyNumberFormat="1" applyFont="1" applyFill="1" applyBorder="1" applyAlignment="1">
      <alignment vertical="top" wrapText="1"/>
    </xf>
    <xf numFmtId="0" fontId="87" fillId="0" borderId="45" xfId="0" applyFont="1" applyBorder="1" applyAlignment="1">
      <alignment vertical="top" wrapText="1"/>
    </xf>
    <xf numFmtId="49" fontId="0" fillId="33" borderId="0" xfId="0" applyNumberFormat="1" applyFont="1" applyFill="1" applyAlignment="1">
      <alignment vertical="top" wrapText="1"/>
    </xf>
    <xf numFmtId="49" fontId="3" fillId="33" borderId="0" xfId="0" applyNumberFormat="1" applyFont="1" applyFill="1" applyAlignment="1">
      <alignment vertical="top" wrapText="1"/>
    </xf>
    <xf numFmtId="49" fontId="0" fillId="33" borderId="0" xfId="0" applyNumberFormat="1" applyFont="1" applyFill="1" applyAlignment="1" quotePrefix="1">
      <alignment horizontal="left" vertical="top" wrapText="1"/>
    </xf>
    <xf numFmtId="49" fontId="0" fillId="33" borderId="0" xfId="0" applyNumberFormat="1" applyFont="1" applyFill="1" applyAlignment="1">
      <alignment vertical="top" wrapText="1"/>
    </xf>
    <xf numFmtId="49" fontId="27" fillId="33" borderId="48" xfId="0" applyNumberFormat="1" applyFont="1" applyFill="1" applyBorder="1" applyAlignment="1">
      <alignment vertical="top" wrapText="1"/>
    </xf>
    <xf numFmtId="49" fontId="27" fillId="33" borderId="47" xfId="0" applyNumberFormat="1" applyFont="1" applyFill="1" applyBorder="1" applyAlignment="1">
      <alignment vertical="top" wrapText="1"/>
    </xf>
    <xf numFmtId="0" fontId="27" fillId="0" borderId="47" xfId="0" applyFont="1" applyBorder="1" applyAlignment="1">
      <alignment vertical="top" wrapText="1"/>
    </xf>
    <xf numFmtId="49" fontId="3" fillId="33" borderId="13" xfId="0" applyNumberFormat="1" applyFont="1" applyFill="1" applyBorder="1" applyAlignment="1">
      <alignment vertical="top" wrapText="1"/>
    </xf>
    <xf numFmtId="49" fontId="3" fillId="33" borderId="0" xfId="0" applyNumberFormat="1" applyFont="1" applyFill="1" applyBorder="1" applyAlignment="1">
      <alignment vertical="top" wrapText="1"/>
    </xf>
    <xf numFmtId="49" fontId="0" fillId="33" borderId="0" xfId="0" applyNumberFormat="1" applyFont="1" applyFill="1" applyAlignment="1" quotePrefix="1">
      <alignment horizontal="left" vertical="top" wrapText="1"/>
    </xf>
    <xf numFmtId="49" fontId="3" fillId="33" borderId="0" xfId="0" applyNumberFormat="1" applyFont="1" applyFill="1" applyAlignment="1" quotePrefix="1">
      <alignment horizontal="left" vertical="top" wrapText="1"/>
    </xf>
    <xf numFmtId="49" fontId="0" fillId="33" borderId="0" xfId="0" applyNumberFormat="1" applyFont="1" applyFill="1" applyAlignment="1">
      <alignment horizontal="left" vertical="top" wrapText="1"/>
    </xf>
    <xf numFmtId="0" fontId="2" fillId="39" borderId="0" xfId="0" applyFont="1" applyFill="1" applyAlignment="1" applyProtection="1">
      <alignment horizontal="center"/>
      <protection/>
    </xf>
    <xf numFmtId="0" fontId="0" fillId="39" borderId="0" xfId="0" applyFill="1" applyAlignment="1" applyProtection="1">
      <alignment horizontal="center"/>
      <protection/>
    </xf>
    <xf numFmtId="0" fontId="11" fillId="39" borderId="0" xfId="0" applyFont="1" applyFill="1" applyAlignment="1" applyProtection="1">
      <alignment horizontal="center"/>
      <protection/>
    </xf>
    <xf numFmtId="0" fontId="0" fillId="39" borderId="0" xfId="0"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7">
    <dxf>
      <font>
        <b val="0"/>
        <i/>
        <color auto="1"/>
      </font>
      <fill>
        <patternFill>
          <bgColor indexed="52"/>
        </patternFill>
      </fill>
    </dxf>
    <dxf>
      <fill>
        <patternFill>
          <bgColor indexed="52"/>
        </patternFill>
      </fill>
    </dxf>
    <dxf>
      <font>
        <b val="0"/>
        <i/>
        <color indexed="10"/>
      </font>
    </dxf>
    <dxf>
      <font>
        <b val="0"/>
        <i/>
        <color indexed="10"/>
      </font>
    </dxf>
    <dxf>
      <font>
        <b val="0"/>
        <i/>
        <color auto="1"/>
      </font>
      <fill>
        <patternFill>
          <bgColor indexed="52"/>
        </patternFill>
      </fill>
    </dxf>
    <dxf>
      <fill>
        <patternFill>
          <bgColor indexed="52"/>
        </patternFill>
      </fill>
    </dxf>
    <dxf>
      <font>
        <b val="0"/>
        <i/>
        <color indexed="10"/>
      </font>
    </dxf>
    <dxf>
      <font>
        <b val="0"/>
        <i/>
        <color indexed="10"/>
      </font>
    </dxf>
    <dxf>
      <font>
        <b val="0"/>
        <i/>
        <color auto="1"/>
      </font>
      <fill>
        <patternFill>
          <bgColor indexed="52"/>
        </patternFill>
      </fill>
    </dxf>
    <dxf>
      <fill>
        <patternFill>
          <bgColor indexed="52"/>
        </patternFill>
      </fill>
    </dxf>
    <dxf>
      <font>
        <b val="0"/>
        <i/>
        <color indexed="10"/>
      </font>
    </dxf>
    <dxf>
      <font>
        <b val="0"/>
        <i/>
        <color indexed="10"/>
      </font>
    </dxf>
    <dxf>
      <font>
        <b/>
        <i val="0"/>
        <color auto="1"/>
      </font>
      <fill>
        <patternFill>
          <bgColor indexed="51"/>
        </patternFill>
      </fill>
    </dxf>
    <dxf>
      <font>
        <b val="0"/>
        <i/>
        <color auto="1"/>
      </font>
      <fill>
        <patternFill>
          <bgColor indexed="52"/>
        </patternFill>
      </fill>
    </dxf>
    <dxf>
      <font>
        <b val="0"/>
        <i/>
        <color auto="1"/>
      </font>
      <fill>
        <patternFill>
          <bgColor indexed="52"/>
        </patternFill>
      </fill>
    </dxf>
    <dxf>
      <font>
        <b/>
        <i val="0"/>
        <color auto="1"/>
      </font>
      <fill>
        <patternFill>
          <bgColor indexed="51"/>
        </patternFill>
      </fill>
    </dxf>
    <dxf>
      <font>
        <b/>
        <i val="0"/>
        <color indexed="10"/>
      </font>
      <fill>
        <patternFill>
          <bgColor indexed="51"/>
        </patternFill>
      </fill>
    </dxf>
    <dxf>
      <font>
        <b/>
        <i val="0"/>
        <color indexed="10"/>
      </font>
      <fill>
        <patternFill>
          <bgColor indexed="51"/>
        </patternFill>
      </fill>
    </dxf>
    <dxf>
      <font>
        <b/>
        <i val="0"/>
        <color auto="1"/>
      </font>
      <fill>
        <patternFill>
          <bgColor indexed="51"/>
        </patternFill>
      </fill>
    </dxf>
    <dxf>
      <font>
        <b val="0"/>
        <i/>
        <color auto="1"/>
      </font>
      <fill>
        <patternFill>
          <bgColor indexed="52"/>
        </patternFill>
      </fill>
    </dxf>
    <dxf>
      <font>
        <b val="0"/>
        <i/>
        <color auto="1"/>
      </font>
      <fill>
        <patternFill>
          <bgColor indexed="52"/>
        </patternFill>
      </fill>
    </dxf>
    <dxf>
      <font>
        <b/>
        <i val="0"/>
        <color indexed="10"/>
      </font>
      <fill>
        <patternFill>
          <bgColor indexed="51"/>
        </patternFill>
      </fill>
    </dxf>
    <dxf>
      <font>
        <b/>
        <i val="0"/>
        <color indexed="10"/>
      </font>
      <fill>
        <patternFill>
          <bgColor indexed="51"/>
        </patternFill>
      </fill>
    </dxf>
    <dxf>
      <font>
        <b/>
        <i val="0"/>
        <color auto="1"/>
      </font>
      <fill>
        <patternFill>
          <bgColor indexed="51"/>
        </patternFill>
      </fill>
    </dxf>
    <dxf>
      <font>
        <b val="0"/>
        <i/>
        <color auto="1"/>
      </font>
      <fill>
        <patternFill>
          <bgColor indexed="52"/>
        </patternFill>
      </fill>
    </dxf>
    <dxf>
      <font>
        <b val="0"/>
        <i/>
        <color indexed="10"/>
      </font>
    </dxf>
    <dxf>
      <font>
        <b val="0"/>
        <i/>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Potential dermal exposure estimates filling, mixing and loading</a:t>
            </a:r>
          </a:p>
        </c:rich>
      </c:tx>
      <c:layout>
        <c:manualLayout>
          <c:xMode val="factor"/>
          <c:yMode val="factor"/>
          <c:x val="-0.01575"/>
          <c:y val="0"/>
        </c:manualLayout>
      </c:layout>
      <c:spPr>
        <a:noFill/>
        <a:ln>
          <a:noFill/>
        </a:ln>
      </c:spPr>
    </c:title>
    <c:plotArea>
      <c:layout>
        <c:manualLayout>
          <c:xMode val="edge"/>
          <c:yMode val="edge"/>
          <c:x val="0.073"/>
          <c:y val="0.202"/>
          <c:w val="0.56275"/>
          <c:h val="0.726"/>
        </c:manualLayout>
      </c:layout>
      <c:scatterChart>
        <c:scatterStyle val="smoothMarker"/>
        <c:varyColors val="0"/>
        <c:ser>
          <c:idx val="0"/>
          <c:order val="0"/>
          <c:tx>
            <c:strRef>
              <c:f>Fillmixload_results!$C$17</c:f>
              <c:strCache>
                <c:ptCount val="1"/>
                <c:pt idx="0">
                  <c:v>Hands rate (μL/min or mg/min)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Pt>
            <c:idx val="4"/>
            <c:spPr>
              <a:ln w="12700">
                <a:solidFill>
                  <a:srgbClr val="000080"/>
                </a:solidFill>
              </a:ln>
            </c:spPr>
            <c:marker>
              <c:size val="5"/>
              <c:spPr>
                <a:solidFill>
                  <a:srgbClr val="000080"/>
                </a:solidFill>
                <a:ln>
                  <a:solidFill>
                    <a:srgbClr val="000080"/>
                  </a:solidFill>
                </a:ln>
              </c:spPr>
            </c:marker>
          </c:dPt>
          <c:xVal>
            <c:numRef>
              <c:f>Fillmixload_results!$B$18:$B$28</c:f>
              <c:numCache/>
            </c:numRef>
          </c:xVal>
          <c:yVal>
            <c:numRef>
              <c:f>Fillmixload_results!$C$18:$C$28</c:f>
              <c:numCache/>
            </c:numRef>
          </c:yVal>
          <c:smooth val="1"/>
        </c:ser>
        <c:ser>
          <c:idx val="1"/>
          <c:order val="1"/>
          <c:tx>
            <c:strRef>
              <c:f>Fillmixload_results!$D$17</c:f>
              <c:strCache>
                <c:ptCount val="1"/>
                <c:pt idx="0">
                  <c:v>Hands loading (μL or mg)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xVal>
            <c:numRef>
              <c:f>Fillmixload_results!$B$18:$B$28</c:f>
              <c:numCache/>
            </c:numRef>
          </c:xVal>
          <c:yVal>
            <c:numRef>
              <c:f>Fillmixload_results!$D$18:$D$28</c:f>
              <c:numCache/>
            </c:numRef>
          </c:yVal>
          <c:smooth val="1"/>
        </c:ser>
        <c:axId val="16704584"/>
        <c:axId val="16123529"/>
      </c:scatterChart>
      <c:valAx>
        <c:axId val="16704584"/>
        <c:scaling>
          <c:orientation val="minMax"/>
          <c:max val="1"/>
        </c:scaling>
        <c:axPos val="b"/>
        <c:title>
          <c:tx>
            <c:rich>
              <a:bodyPr vert="horz" rot="0" anchor="ctr"/>
              <a:lstStyle/>
              <a:p>
                <a:pPr algn="ctr">
                  <a:defRPr/>
                </a:pPr>
                <a:r>
                  <a:rPr lang="en-US" cap="none" sz="1900" b="1" i="0" u="none" baseline="0">
                    <a:solidFill>
                      <a:srgbClr val="000000"/>
                    </a:solidFill>
                    <a:latin typeface="Arial"/>
                    <a:ea typeface="Arial"/>
                    <a:cs typeface="Arial"/>
                  </a:rPr>
                  <a:t>percentile</a:t>
                </a:r>
              </a:p>
            </c:rich>
          </c:tx>
          <c:layout>
            <c:manualLayout>
              <c:xMode val="factor"/>
              <c:yMode val="factor"/>
              <c:x val="0.0085"/>
              <c:y val="0"/>
            </c:manualLayout>
          </c:layout>
          <c:overlay val="0"/>
          <c:spPr>
            <a:noFill/>
            <a:ln>
              <a:noFill/>
            </a:ln>
          </c:spPr>
        </c:title>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6123529"/>
        <c:crosses val="autoZero"/>
        <c:crossBetween val="midCat"/>
        <c:dispUnits/>
        <c:majorUnit val="0.1"/>
        <c:minorUnit val="0.05"/>
      </c:valAx>
      <c:valAx>
        <c:axId val="16123529"/>
        <c:scaling>
          <c:logBase val="10"/>
          <c:orientation val="minMax"/>
        </c:scaling>
        <c:axPos val="l"/>
        <c:title>
          <c:tx>
            <c:rich>
              <a:bodyPr vert="horz" rot="-5400000" anchor="ctr"/>
              <a:lstStyle/>
              <a:p>
                <a:pPr algn="ctr">
                  <a:defRPr/>
                </a:pPr>
                <a:r>
                  <a:rPr lang="en-US" cap="none" sz="1900" b="1" i="0" u="none" baseline="0">
                    <a:solidFill>
                      <a:srgbClr val="000000"/>
                    </a:solidFill>
                    <a:latin typeface="Arial"/>
                    <a:ea typeface="Arial"/>
                    <a:cs typeface="Arial"/>
                  </a:rPr>
                  <a:t>value</a:t>
                </a:r>
              </a:p>
            </c:rich>
          </c:tx>
          <c:layout>
            <c:manualLayout>
              <c:xMode val="factor"/>
              <c:yMode val="factor"/>
              <c:x val="-0.01225"/>
              <c:y val="0"/>
            </c:manualLayout>
          </c:layout>
          <c:overlay val="0"/>
          <c:spPr>
            <a:noFill/>
            <a:ln>
              <a:noFill/>
            </a:ln>
          </c:spPr>
        </c:title>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6704584"/>
        <c:crosses val="autoZero"/>
        <c:crossBetween val="midCat"/>
        <c:dispUnits/>
        <c:minorUnit val="10"/>
      </c:valAx>
      <c:spPr>
        <a:gradFill rotWithShape="1">
          <a:gsLst>
            <a:gs pos="0">
              <a:srgbClr val="FF0000"/>
            </a:gs>
            <a:gs pos="100000">
              <a:srgbClr val="CCFFCC"/>
            </a:gs>
          </a:gsLst>
          <a:lin ang="5400000" scaled="1"/>
        </a:gradFill>
        <a:ln w="12700">
          <a:solidFill>
            <a:srgbClr val="808080"/>
          </a:solidFill>
        </a:ln>
      </c:spPr>
    </c:plotArea>
    <c:legend>
      <c:legendPos val="r"/>
      <c:layout>
        <c:manualLayout>
          <c:xMode val="edge"/>
          <c:yMode val="edge"/>
          <c:x val="0.65975"/>
          <c:y val="0.3175"/>
          <c:w val="0.3365"/>
          <c:h val="0.204"/>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Potential dermal exposure estimates wiping</a:t>
            </a:r>
          </a:p>
        </c:rich>
      </c:tx>
      <c:layout>
        <c:manualLayout>
          <c:xMode val="factor"/>
          <c:yMode val="factor"/>
          <c:x val="-0.00125"/>
          <c:y val="0"/>
        </c:manualLayout>
      </c:layout>
      <c:spPr>
        <a:noFill/>
        <a:ln>
          <a:noFill/>
        </a:ln>
      </c:spPr>
    </c:title>
    <c:plotArea>
      <c:layout>
        <c:manualLayout>
          <c:xMode val="edge"/>
          <c:yMode val="edge"/>
          <c:x val="0.058"/>
          <c:y val="0.1665"/>
          <c:w val="0.62"/>
          <c:h val="0.75025"/>
        </c:manualLayout>
      </c:layout>
      <c:scatterChart>
        <c:scatterStyle val="smoothMarker"/>
        <c:varyColors val="0"/>
        <c:ser>
          <c:idx val="0"/>
          <c:order val="0"/>
          <c:tx>
            <c:strRef>
              <c:f>Wiping_results!$C$12</c:f>
              <c:strCache>
                <c:ptCount val="1"/>
                <c:pt idx="0">
                  <c:v>Hands rate (μL/min)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Wiping_results!$B$13:$B$23</c:f>
              <c:numCache/>
            </c:numRef>
          </c:xVal>
          <c:yVal>
            <c:numRef>
              <c:f>Wiping_results!$C$13:$C$23</c:f>
              <c:numCache/>
            </c:numRef>
          </c:yVal>
          <c:smooth val="1"/>
        </c:ser>
        <c:ser>
          <c:idx val="1"/>
          <c:order val="1"/>
          <c:tx>
            <c:strRef>
              <c:f>Wiping_results!$D$12</c:f>
              <c:strCache>
                <c:ptCount val="1"/>
                <c:pt idx="0">
                  <c:v>Hands loading (mg)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xVal>
            <c:numRef>
              <c:f>Wiping_results!$B$13:$B$23</c:f>
              <c:numCache/>
            </c:numRef>
          </c:xVal>
          <c:yVal>
            <c:numRef>
              <c:f>Wiping_results!$D$13:$D$23</c:f>
              <c:numCache/>
            </c:numRef>
          </c:yVal>
          <c:smooth val="1"/>
        </c:ser>
        <c:ser>
          <c:idx val="2"/>
          <c:order val="2"/>
          <c:tx>
            <c:strRef>
              <c:f>Wiping_results!$E$12</c:f>
              <c:strCache>
                <c:ptCount val="1"/>
                <c:pt idx="0">
                  <c:v>Body rate (μL/min)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xVal>
            <c:numRef>
              <c:f>Wiping_results!$B$13:$B$23</c:f>
              <c:numCache/>
            </c:numRef>
          </c:xVal>
          <c:yVal>
            <c:numRef>
              <c:f>Wiping_results!$E$13:$E$23</c:f>
              <c:numCache/>
            </c:numRef>
          </c:yVal>
          <c:smooth val="1"/>
        </c:ser>
        <c:ser>
          <c:idx val="3"/>
          <c:order val="3"/>
          <c:tx>
            <c:strRef>
              <c:f>Wiping_results!$F$12</c:f>
              <c:strCache>
                <c:ptCount val="1"/>
                <c:pt idx="0">
                  <c:v>Body loading (mg)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xVal>
            <c:numRef>
              <c:f>Wiping_results!$B$13:$B$23</c:f>
              <c:numCache/>
            </c:numRef>
          </c:xVal>
          <c:yVal>
            <c:numRef>
              <c:f>Wiping_results!$F$13:$F$23</c:f>
              <c:numCache/>
            </c:numRef>
          </c:yVal>
          <c:smooth val="1"/>
        </c:ser>
        <c:axId val="10894034"/>
        <c:axId val="30937443"/>
      </c:scatterChart>
      <c:valAx>
        <c:axId val="10894034"/>
        <c:scaling>
          <c:orientation val="minMax"/>
          <c:max val="1"/>
        </c:scaling>
        <c:axPos val="b"/>
        <c:title>
          <c:tx>
            <c:rich>
              <a:bodyPr vert="horz" rot="0" anchor="ctr"/>
              <a:lstStyle/>
              <a:p>
                <a:pPr algn="ctr">
                  <a:defRPr/>
                </a:pPr>
                <a:r>
                  <a:rPr lang="en-US" cap="none" sz="2200" b="1" i="0" u="none" baseline="0">
                    <a:solidFill>
                      <a:srgbClr val="000000"/>
                    </a:solidFill>
                    <a:latin typeface="Arial"/>
                    <a:ea typeface="Arial"/>
                    <a:cs typeface="Arial"/>
                  </a:rPr>
                  <a:t>percentile</a:t>
                </a:r>
              </a:p>
            </c:rich>
          </c:tx>
          <c:layout>
            <c:manualLayout>
              <c:xMode val="factor"/>
              <c:yMode val="factor"/>
              <c:x val="0.01225"/>
              <c:y val="0.0005"/>
            </c:manualLayout>
          </c:layout>
          <c:overlay val="0"/>
          <c:spPr>
            <a:noFill/>
            <a:ln>
              <a:noFill/>
            </a:ln>
          </c:spPr>
        </c:title>
        <c:delete val="0"/>
        <c:numFmt formatCode="0%" sourceLinked="0"/>
        <c:majorTickMark val="out"/>
        <c:minorTickMark val="none"/>
        <c:tickLblPos val="low"/>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30937443"/>
        <c:crosses val="autoZero"/>
        <c:crossBetween val="midCat"/>
        <c:dispUnits/>
        <c:majorUnit val="0.1"/>
        <c:minorUnit val="0.05"/>
      </c:valAx>
      <c:valAx>
        <c:axId val="30937443"/>
        <c:scaling>
          <c:logBase val="10"/>
          <c:orientation val="minMax"/>
          <c:min val="10"/>
        </c:scaling>
        <c:axPos val="l"/>
        <c:title>
          <c:tx>
            <c:rich>
              <a:bodyPr vert="horz" rot="-5400000" anchor="ctr"/>
              <a:lstStyle/>
              <a:p>
                <a:pPr algn="ctr">
                  <a:defRPr/>
                </a:pPr>
                <a:r>
                  <a:rPr lang="en-US" cap="none" sz="2200" b="1" i="0" u="none" baseline="0">
                    <a:solidFill>
                      <a:srgbClr val="000000"/>
                    </a:solidFill>
                    <a:latin typeface="Arial"/>
                    <a:ea typeface="Arial"/>
                    <a:cs typeface="Arial"/>
                  </a:rPr>
                  <a:t>value</a:t>
                </a:r>
              </a:p>
            </c:rich>
          </c:tx>
          <c:layout>
            <c:manualLayout>
              <c:xMode val="factor"/>
              <c:yMode val="factor"/>
              <c:x val="-0.02175"/>
              <c:y val="0"/>
            </c:manualLayout>
          </c:layout>
          <c:overlay val="0"/>
          <c:spPr>
            <a:noFill/>
            <a:ln>
              <a:noFill/>
            </a:ln>
          </c:spPr>
        </c:title>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10894034"/>
        <c:crosses val="autoZero"/>
        <c:crossBetween val="midCat"/>
        <c:dispUnits/>
      </c:valAx>
      <c:spPr>
        <a:gradFill rotWithShape="1">
          <a:gsLst>
            <a:gs pos="0">
              <a:srgbClr val="FF0000"/>
            </a:gs>
            <a:gs pos="100000">
              <a:srgbClr val="CCFFCC"/>
            </a:gs>
          </a:gsLst>
          <a:lin ang="5400000" scaled="1"/>
        </a:gradFill>
        <a:ln w="12700">
          <a:solidFill>
            <a:srgbClr val="808080"/>
          </a:solidFill>
        </a:ln>
      </c:spPr>
    </c:plotArea>
    <c:legend>
      <c:legendPos val="r"/>
      <c:layout>
        <c:manualLayout>
          <c:xMode val="edge"/>
          <c:yMode val="edge"/>
          <c:x val="0.75125"/>
          <c:y val="0.32575"/>
          <c:w val="0.24425"/>
          <c:h val="0.2227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Potential dermal exposure estimates
Dispersion hand held tools</a:t>
            </a:r>
          </a:p>
        </c:rich>
      </c:tx>
      <c:layout>
        <c:manualLayout>
          <c:xMode val="factor"/>
          <c:yMode val="factor"/>
          <c:x val="0"/>
          <c:y val="0"/>
        </c:manualLayout>
      </c:layout>
      <c:spPr>
        <a:noFill/>
        <a:ln>
          <a:noFill/>
        </a:ln>
      </c:spPr>
    </c:title>
    <c:plotArea>
      <c:layout>
        <c:manualLayout>
          <c:xMode val="edge"/>
          <c:yMode val="edge"/>
          <c:x val="0.058"/>
          <c:y val="0.1665"/>
          <c:w val="0.62"/>
          <c:h val="0.75025"/>
        </c:manualLayout>
      </c:layout>
      <c:scatterChart>
        <c:scatterStyle val="smoothMarker"/>
        <c:varyColors val="0"/>
        <c:ser>
          <c:idx val="0"/>
          <c:order val="0"/>
          <c:tx>
            <c:strRef>
              <c:f>Dispersion_results!$C$14</c:f>
              <c:strCache>
                <c:ptCount val="1"/>
                <c:pt idx="0">
                  <c:v>Hands rate (μL/min)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Dispersion_results!$B$15:$B$25</c:f>
              <c:numCache/>
            </c:numRef>
          </c:xVal>
          <c:yVal>
            <c:numRef>
              <c:f>Dispersion_results!$C$15:$C$25</c:f>
              <c:numCache/>
            </c:numRef>
          </c:yVal>
          <c:smooth val="1"/>
        </c:ser>
        <c:ser>
          <c:idx val="1"/>
          <c:order val="1"/>
          <c:tx>
            <c:strRef>
              <c:f>Dispersion_results!$D$14</c:f>
              <c:strCache>
                <c:ptCount val="1"/>
                <c:pt idx="0">
                  <c:v>Hands loading (mg)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xVal>
            <c:numRef>
              <c:f>Dispersion_results!$B$15:$B$25</c:f>
              <c:numCache/>
            </c:numRef>
          </c:xVal>
          <c:yVal>
            <c:numRef>
              <c:f>Dispersion_results!$D$15:$D$25</c:f>
              <c:numCache/>
            </c:numRef>
          </c:yVal>
          <c:smooth val="1"/>
        </c:ser>
        <c:ser>
          <c:idx val="2"/>
          <c:order val="2"/>
          <c:tx>
            <c:strRef>
              <c:f>Dispersion_results!$E$14</c:f>
              <c:strCache>
                <c:ptCount val="1"/>
                <c:pt idx="0">
                  <c:v>Body rate (μL/min)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xVal>
            <c:numRef>
              <c:f>Dispersion_results!$B$15:$B$25</c:f>
              <c:numCache/>
            </c:numRef>
          </c:xVal>
          <c:yVal>
            <c:numRef>
              <c:f>Dispersion_results!$E$15:$E$25</c:f>
              <c:numCache/>
            </c:numRef>
          </c:yVal>
          <c:smooth val="1"/>
        </c:ser>
        <c:ser>
          <c:idx val="3"/>
          <c:order val="3"/>
          <c:tx>
            <c:strRef>
              <c:f>Dispersion_results!$F$14</c:f>
              <c:strCache>
                <c:ptCount val="1"/>
                <c:pt idx="0">
                  <c:v>Body loading (mg)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xVal>
            <c:numRef>
              <c:f>Dispersion_results!$B$15:$B$25</c:f>
              <c:numCache/>
            </c:numRef>
          </c:xVal>
          <c:yVal>
            <c:numRef>
              <c:f>Dispersion_results!$F$15:$F$25</c:f>
              <c:numCache/>
            </c:numRef>
          </c:yVal>
          <c:smooth val="1"/>
        </c:ser>
        <c:axId val="10001532"/>
        <c:axId val="22904925"/>
      </c:scatterChart>
      <c:valAx>
        <c:axId val="10001532"/>
        <c:scaling>
          <c:orientation val="minMax"/>
          <c:max val="1"/>
        </c:scaling>
        <c:axPos val="b"/>
        <c:title>
          <c:tx>
            <c:rich>
              <a:bodyPr vert="horz" rot="0" anchor="ctr"/>
              <a:lstStyle/>
              <a:p>
                <a:pPr algn="ctr">
                  <a:defRPr/>
                </a:pPr>
                <a:r>
                  <a:rPr lang="en-US" cap="none" sz="2200" b="1" i="0" u="none" baseline="0">
                    <a:solidFill>
                      <a:srgbClr val="000000"/>
                    </a:solidFill>
                    <a:latin typeface="Arial"/>
                    <a:ea typeface="Arial"/>
                    <a:cs typeface="Arial"/>
                  </a:rPr>
                  <a:t>percentile</a:t>
                </a:r>
              </a:p>
            </c:rich>
          </c:tx>
          <c:layout>
            <c:manualLayout>
              <c:xMode val="factor"/>
              <c:yMode val="factor"/>
              <c:x val="0.01225"/>
              <c:y val="0.0005"/>
            </c:manualLayout>
          </c:layout>
          <c:overlay val="0"/>
          <c:spPr>
            <a:noFill/>
            <a:ln>
              <a:noFill/>
            </a:ln>
          </c:spPr>
        </c:title>
        <c:delete val="0"/>
        <c:numFmt formatCode="0%" sourceLinked="0"/>
        <c:majorTickMark val="out"/>
        <c:minorTickMark val="none"/>
        <c:tickLblPos val="low"/>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22904925"/>
        <c:crosses val="autoZero"/>
        <c:crossBetween val="midCat"/>
        <c:dispUnits/>
        <c:majorUnit val="0.1"/>
        <c:minorUnit val="0.05"/>
      </c:valAx>
      <c:valAx>
        <c:axId val="22904925"/>
        <c:scaling>
          <c:logBase val="10"/>
          <c:orientation val="minMax"/>
          <c:min val="10"/>
        </c:scaling>
        <c:axPos val="l"/>
        <c:title>
          <c:tx>
            <c:rich>
              <a:bodyPr vert="horz" rot="-5400000" anchor="ctr"/>
              <a:lstStyle/>
              <a:p>
                <a:pPr algn="ctr">
                  <a:defRPr/>
                </a:pPr>
                <a:r>
                  <a:rPr lang="en-US" cap="none" sz="2200" b="1" i="0" u="none" baseline="0">
                    <a:solidFill>
                      <a:srgbClr val="000000"/>
                    </a:solidFill>
                    <a:latin typeface="Arial"/>
                    <a:ea typeface="Arial"/>
                    <a:cs typeface="Arial"/>
                  </a:rPr>
                  <a:t>value</a:t>
                </a:r>
              </a:p>
            </c:rich>
          </c:tx>
          <c:layout>
            <c:manualLayout>
              <c:xMode val="factor"/>
              <c:yMode val="factor"/>
              <c:x val="-0.018"/>
              <c:y val="0"/>
            </c:manualLayout>
          </c:layout>
          <c:overlay val="0"/>
          <c:spPr>
            <a:noFill/>
            <a:ln>
              <a:noFill/>
            </a:ln>
          </c:spPr>
        </c:title>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10001532"/>
        <c:crosses val="autoZero"/>
        <c:crossBetween val="midCat"/>
        <c:dispUnits/>
      </c:valAx>
      <c:spPr>
        <a:gradFill rotWithShape="1">
          <a:gsLst>
            <a:gs pos="0">
              <a:srgbClr val="FF0000"/>
            </a:gs>
            <a:gs pos="100000">
              <a:srgbClr val="CCFFCC"/>
            </a:gs>
          </a:gsLst>
          <a:lin ang="5400000" scaled="1"/>
        </a:gradFill>
        <a:ln w="12700">
          <a:solidFill>
            <a:srgbClr val="808080"/>
          </a:solidFill>
        </a:ln>
      </c:spPr>
    </c:plotArea>
    <c:legend>
      <c:legendPos val="r"/>
      <c:layout>
        <c:manualLayout>
          <c:xMode val="edge"/>
          <c:yMode val="edge"/>
          <c:x val="0.75125"/>
          <c:y val="0.32575"/>
          <c:w val="0.24425"/>
          <c:h val="0.2227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1" i="0" u="none" baseline="0">
                <a:solidFill>
                  <a:srgbClr val="000000"/>
                </a:solidFill>
                <a:latin typeface="Arial"/>
                <a:ea typeface="Arial"/>
                <a:cs typeface="Arial"/>
              </a:rPr>
              <a:t>Potential dermal exposure estimates
spraying</a:t>
            </a:r>
          </a:p>
        </c:rich>
      </c:tx>
      <c:layout>
        <c:manualLayout>
          <c:xMode val="factor"/>
          <c:yMode val="factor"/>
          <c:x val="-0.00275"/>
          <c:y val="0"/>
        </c:manualLayout>
      </c:layout>
      <c:spPr>
        <a:noFill/>
        <a:ln>
          <a:noFill/>
        </a:ln>
      </c:spPr>
    </c:title>
    <c:plotArea>
      <c:layout>
        <c:manualLayout>
          <c:xMode val="edge"/>
          <c:yMode val="edge"/>
          <c:x val="0.07225"/>
          <c:y val="0.18725"/>
          <c:w val="0.61575"/>
          <c:h val="0.74675"/>
        </c:manualLayout>
      </c:layout>
      <c:scatterChart>
        <c:scatterStyle val="smoothMarker"/>
        <c:varyColors val="0"/>
        <c:ser>
          <c:idx val="0"/>
          <c:order val="0"/>
          <c:tx>
            <c:strRef>
              <c:f>Spraying_results!$C$19</c:f>
              <c:strCache>
                <c:ptCount val="1"/>
                <c:pt idx="0">
                  <c:v>Hands rate (μL/min or mg/min)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Pt>
            <c:idx val="4"/>
            <c:spPr>
              <a:ln w="12700">
                <a:solidFill>
                  <a:srgbClr val="000080"/>
                </a:solidFill>
              </a:ln>
            </c:spPr>
            <c:marker>
              <c:size val="5"/>
              <c:spPr>
                <a:solidFill>
                  <a:srgbClr val="000080"/>
                </a:solidFill>
                <a:ln>
                  <a:solidFill>
                    <a:srgbClr val="000080"/>
                  </a:solidFill>
                </a:ln>
              </c:spPr>
            </c:marker>
          </c:dPt>
          <c:xVal>
            <c:numRef>
              <c:f>Spraying_results!$B$20:$B$30</c:f>
              <c:numCache/>
            </c:numRef>
          </c:xVal>
          <c:yVal>
            <c:numRef>
              <c:f>Spraying_results!$C$20:$C$30</c:f>
              <c:numCache/>
            </c:numRef>
          </c:yVal>
          <c:smooth val="1"/>
        </c:ser>
        <c:ser>
          <c:idx val="1"/>
          <c:order val="1"/>
          <c:tx>
            <c:strRef>
              <c:f>Spraying_results!$D$19</c:f>
              <c:strCache>
                <c:ptCount val="1"/>
                <c:pt idx="0">
                  <c:v>Hands loading (μL or mg)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xVal>
            <c:numRef>
              <c:f>Spraying_results!$B$20:$B$30</c:f>
              <c:numCache/>
            </c:numRef>
          </c:xVal>
          <c:yVal>
            <c:numRef>
              <c:f>Spraying_results!$D$20:$D$30</c:f>
              <c:numCache/>
            </c:numRef>
          </c:yVal>
          <c:smooth val="1"/>
        </c:ser>
        <c:ser>
          <c:idx val="2"/>
          <c:order val="2"/>
          <c:tx>
            <c:strRef>
              <c:f>Spraying_results!$E$19</c:f>
              <c:strCache>
                <c:ptCount val="1"/>
                <c:pt idx="0">
                  <c:v>Body rate (μL/min or mg/min)</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Spraying_results!$B$20:$B$30</c:f>
              <c:numCache/>
            </c:numRef>
          </c:xVal>
          <c:yVal>
            <c:numRef>
              <c:f>Spraying_results!$E$20:$E$30</c:f>
              <c:numCache/>
            </c:numRef>
          </c:yVal>
          <c:smooth val="1"/>
        </c:ser>
        <c:ser>
          <c:idx val="3"/>
          <c:order val="3"/>
          <c:tx>
            <c:strRef>
              <c:f>Spraying_results!$F$19</c:f>
              <c:strCache>
                <c:ptCount val="1"/>
                <c:pt idx="0">
                  <c:v>Body loading (μL or mg)</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Spraying_results!$B$20:$B$30</c:f>
              <c:numCache/>
            </c:numRef>
          </c:xVal>
          <c:yVal>
            <c:numRef>
              <c:f>Spraying_results!$F$20:$F$30</c:f>
              <c:numCache/>
            </c:numRef>
          </c:yVal>
          <c:smooth val="1"/>
        </c:ser>
        <c:axId val="4817734"/>
        <c:axId val="43359607"/>
      </c:scatterChart>
      <c:valAx>
        <c:axId val="4817734"/>
        <c:scaling>
          <c:orientation val="minMax"/>
          <c:max val="1"/>
        </c:scaling>
        <c:axPos val="b"/>
        <c:title>
          <c:tx>
            <c:rich>
              <a:bodyPr vert="horz" rot="0" anchor="ctr"/>
              <a:lstStyle/>
              <a:p>
                <a:pPr algn="ctr">
                  <a:defRPr/>
                </a:pPr>
                <a:r>
                  <a:rPr lang="en-US" cap="none" sz="1900" b="1" i="0" u="none" baseline="0">
                    <a:solidFill>
                      <a:srgbClr val="000000"/>
                    </a:solidFill>
                    <a:latin typeface="Arial"/>
                    <a:ea typeface="Arial"/>
                    <a:cs typeface="Arial"/>
                  </a:rPr>
                  <a:t>percentile</a:t>
                </a:r>
              </a:p>
            </c:rich>
          </c:tx>
          <c:layout>
            <c:manualLayout>
              <c:xMode val="factor"/>
              <c:yMode val="factor"/>
              <c:x val="0.01025"/>
              <c:y val="0"/>
            </c:manualLayout>
          </c:layout>
          <c:overlay val="0"/>
          <c:spPr>
            <a:noFill/>
            <a:ln>
              <a:noFill/>
            </a:ln>
          </c:spPr>
        </c:title>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3359607"/>
        <c:crosses val="autoZero"/>
        <c:crossBetween val="midCat"/>
        <c:dispUnits/>
        <c:majorUnit val="0.1"/>
        <c:minorUnit val="0.05"/>
      </c:valAx>
      <c:valAx>
        <c:axId val="43359607"/>
        <c:scaling>
          <c:logBase val="10"/>
          <c:orientation val="minMax"/>
        </c:scaling>
        <c:axPos val="l"/>
        <c:title>
          <c:tx>
            <c:rich>
              <a:bodyPr vert="horz" rot="-5400000" anchor="ctr"/>
              <a:lstStyle/>
              <a:p>
                <a:pPr algn="ctr">
                  <a:defRPr/>
                </a:pPr>
                <a:r>
                  <a:rPr lang="en-US" cap="none" sz="1900" b="1" i="0" u="none" baseline="0">
                    <a:solidFill>
                      <a:srgbClr val="000000"/>
                    </a:solidFill>
                    <a:latin typeface="Arial"/>
                    <a:ea typeface="Arial"/>
                    <a:cs typeface="Arial"/>
                  </a:rPr>
                  <a:t>value</a:t>
                </a:r>
              </a:p>
            </c:rich>
          </c:tx>
          <c:layout>
            <c:manualLayout>
              <c:xMode val="factor"/>
              <c:yMode val="factor"/>
              <c:x val="-0.02775"/>
              <c:y val="0"/>
            </c:manualLayout>
          </c:layout>
          <c:overlay val="0"/>
          <c:spPr>
            <a:noFill/>
            <a:ln>
              <a:noFill/>
            </a:ln>
          </c:spPr>
        </c:title>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817734"/>
        <c:crosses val="autoZero"/>
        <c:crossBetween val="midCat"/>
        <c:dispUnits/>
        <c:minorUnit val="10"/>
      </c:valAx>
      <c:spPr>
        <a:gradFill rotWithShape="1">
          <a:gsLst>
            <a:gs pos="0">
              <a:srgbClr val="FF0000"/>
            </a:gs>
            <a:gs pos="100000">
              <a:srgbClr val="CCFFCC"/>
            </a:gs>
          </a:gsLst>
          <a:lin ang="5400000" scaled="1"/>
        </a:gradFill>
        <a:ln w="12700">
          <a:solidFill>
            <a:srgbClr val="808080"/>
          </a:solidFill>
        </a:ln>
      </c:spPr>
    </c:plotArea>
    <c:legend>
      <c:legendPos val="r"/>
      <c:layout>
        <c:manualLayout>
          <c:xMode val="edge"/>
          <c:yMode val="edge"/>
          <c:x val="0.67225"/>
          <c:y val="0.22475"/>
          <c:w val="0.3235"/>
          <c:h val="0.37125"/>
        </c:manualLayout>
      </c:layout>
      <c:overlay val="0"/>
      <c:spPr>
        <a:solidFill>
          <a:srgbClr val="FFFFFF"/>
        </a:solidFill>
        <a:ln w="3175">
          <a:solidFill>
            <a:srgbClr val="000000"/>
          </a:solidFill>
        </a:ln>
      </c:spPr>
      <c:txPr>
        <a:bodyPr vert="horz" rot="0"/>
        <a:lstStyle/>
        <a:p>
          <a:pPr>
            <a:defRPr lang="en-US" cap="none" sz="11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solidFill>
                  <a:srgbClr val="000000"/>
                </a:solidFill>
                <a:latin typeface="Arial"/>
                <a:ea typeface="Arial"/>
                <a:cs typeface="Arial"/>
              </a:rPr>
              <a:t>Potential dermal exposure estimates
immersion</a:t>
            </a:r>
          </a:p>
        </c:rich>
      </c:tx>
      <c:layout>
        <c:manualLayout>
          <c:xMode val="factor"/>
          <c:yMode val="factor"/>
          <c:x val="0.0015"/>
          <c:y val="0"/>
        </c:manualLayout>
      </c:layout>
      <c:spPr>
        <a:noFill/>
        <a:ln>
          <a:noFill/>
        </a:ln>
      </c:spPr>
    </c:title>
    <c:plotArea>
      <c:layout>
        <c:manualLayout>
          <c:xMode val="edge"/>
          <c:yMode val="edge"/>
          <c:x val="0.07275"/>
          <c:y val="0.18725"/>
          <c:w val="0.61925"/>
          <c:h val="0.7465"/>
        </c:manualLayout>
      </c:layout>
      <c:scatterChart>
        <c:scatterStyle val="smoothMarker"/>
        <c:varyColors val="0"/>
        <c:ser>
          <c:idx val="0"/>
          <c:order val="0"/>
          <c:tx>
            <c:strRef>
              <c:f>Immersion_results!$C$13</c:f>
              <c:strCache>
                <c:ptCount val="1"/>
                <c:pt idx="0">
                  <c:v>Hands rate (μL/min)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Pt>
            <c:idx val="4"/>
            <c:spPr>
              <a:ln w="12700">
                <a:solidFill>
                  <a:srgbClr val="000080"/>
                </a:solidFill>
              </a:ln>
            </c:spPr>
            <c:marker>
              <c:size val="5"/>
              <c:spPr>
                <a:solidFill>
                  <a:srgbClr val="000080"/>
                </a:solidFill>
                <a:ln>
                  <a:solidFill>
                    <a:srgbClr val="000080"/>
                  </a:solidFill>
                </a:ln>
              </c:spPr>
            </c:marker>
          </c:dPt>
          <c:xVal>
            <c:numRef>
              <c:f>Immersion_results!$B$14:$B$24</c:f>
              <c:numCache/>
            </c:numRef>
          </c:xVal>
          <c:yVal>
            <c:numRef>
              <c:f>Immersion_results!$C$14:$C$24</c:f>
              <c:numCache/>
            </c:numRef>
          </c:yVal>
          <c:smooth val="1"/>
        </c:ser>
        <c:ser>
          <c:idx val="1"/>
          <c:order val="1"/>
          <c:tx>
            <c:strRef>
              <c:f>Immersion_results!$D$13</c:f>
              <c:strCache>
                <c:ptCount val="1"/>
                <c:pt idx="0">
                  <c:v>Hands loading (μL)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xVal>
            <c:numRef>
              <c:f>Immersion_results!$B$14:$B$24</c:f>
              <c:numCache/>
            </c:numRef>
          </c:xVal>
          <c:yVal>
            <c:numRef>
              <c:f>Immersion_results!$D$14:$D$24</c:f>
              <c:numCache/>
            </c:numRef>
          </c:yVal>
          <c:smooth val="1"/>
        </c:ser>
        <c:ser>
          <c:idx val="2"/>
          <c:order val="2"/>
          <c:tx>
            <c:strRef>
              <c:f>Immersion_results!$E$13</c:f>
              <c:strCache>
                <c:ptCount val="1"/>
                <c:pt idx="0">
                  <c:v>Body rate (μL/min)</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Immersion_results!$B$14:$B$24</c:f>
              <c:numCache/>
            </c:numRef>
          </c:xVal>
          <c:yVal>
            <c:numRef>
              <c:f>Immersion_results!$E$14:$E$24</c:f>
              <c:numCache/>
            </c:numRef>
          </c:yVal>
          <c:smooth val="1"/>
        </c:ser>
        <c:ser>
          <c:idx val="3"/>
          <c:order val="3"/>
          <c:tx>
            <c:strRef>
              <c:f>Immersion_results!$F$13</c:f>
              <c:strCache>
                <c:ptCount val="1"/>
                <c:pt idx="0">
                  <c:v>Body loading (μL)</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Immersion_results!$B$14:$B$24</c:f>
              <c:numCache/>
            </c:numRef>
          </c:xVal>
          <c:yVal>
            <c:numRef>
              <c:f>Immersion_results!$F$14:$F$24</c:f>
              <c:numCache/>
            </c:numRef>
          </c:yVal>
          <c:smooth val="1"/>
        </c:ser>
        <c:axId val="54692144"/>
        <c:axId val="22467249"/>
      </c:scatterChart>
      <c:valAx>
        <c:axId val="54692144"/>
        <c:scaling>
          <c:orientation val="minMax"/>
          <c:max val="1"/>
        </c:scaling>
        <c:axPos val="b"/>
        <c:title>
          <c:tx>
            <c:rich>
              <a:bodyPr vert="horz" rot="0" anchor="ctr"/>
              <a:lstStyle/>
              <a:p>
                <a:pPr algn="ctr">
                  <a:defRPr/>
                </a:pPr>
                <a:r>
                  <a:rPr lang="en-US" cap="none" sz="1925" b="1" i="0" u="none" baseline="0">
                    <a:solidFill>
                      <a:srgbClr val="000000"/>
                    </a:solidFill>
                    <a:latin typeface="Arial"/>
                    <a:ea typeface="Arial"/>
                    <a:cs typeface="Arial"/>
                  </a:rPr>
                  <a:t>percentile</a:t>
                </a:r>
              </a:p>
            </c:rich>
          </c:tx>
          <c:layout>
            <c:manualLayout>
              <c:xMode val="factor"/>
              <c:yMode val="factor"/>
              <c:x val="0.011"/>
              <c:y val="-0.00075"/>
            </c:manualLayout>
          </c:layout>
          <c:overlay val="0"/>
          <c:spPr>
            <a:noFill/>
            <a:ln>
              <a:noFill/>
            </a:ln>
          </c:spPr>
        </c:title>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2467249"/>
        <c:crosses val="autoZero"/>
        <c:crossBetween val="midCat"/>
        <c:dispUnits/>
        <c:majorUnit val="0.1"/>
        <c:minorUnit val="0.05"/>
      </c:valAx>
      <c:valAx>
        <c:axId val="22467249"/>
        <c:scaling>
          <c:logBase val="10"/>
          <c:orientation val="minMax"/>
        </c:scaling>
        <c:axPos val="l"/>
        <c:title>
          <c:tx>
            <c:rich>
              <a:bodyPr vert="horz" rot="-5400000" anchor="ctr"/>
              <a:lstStyle/>
              <a:p>
                <a:pPr algn="ctr">
                  <a:defRPr/>
                </a:pPr>
                <a:r>
                  <a:rPr lang="en-US" cap="none" sz="1925" b="1" i="0" u="none" baseline="0">
                    <a:solidFill>
                      <a:srgbClr val="000000"/>
                    </a:solidFill>
                    <a:latin typeface="Arial"/>
                    <a:ea typeface="Arial"/>
                    <a:cs typeface="Arial"/>
                  </a:rPr>
                  <a:t>value</a:t>
                </a:r>
              </a:p>
            </c:rich>
          </c:tx>
          <c:layout>
            <c:manualLayout>
              <c:xMode val="factor"/>
              <c:yMode val="factor"/>
              <c:x val="-0.02775"/>
              <c:y val="0.00075"/>
            </c:manualLayout>
          </c:layout>
          <c:overlay val="0"/>
          <c:spPr>
            <a:noFill/>
            <a:ln>
              <a:noFill/>
            </a:ln>
          </c:spPr>
        </c:title>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4692144"/>
        <c:crosses val="autoZero"/>
        <c:crossBetween val="midCat"/>
        <c:dispUnits/>
        <c:minorUnit val="10"/>
      </c:valAx>
      <c:spPr>
        <a:gradFill rotWithShape="1">
          <a:gsLst>
            <a:gs pos="0">
              <a:srgbClr val="FF0000"/>
            </a:gs>
            <a:gs pos="100000">
              <a:srgbClr val="CCFFCC"/>
            </a:gs>
          </a:gsLst>
          <a:lin ang="5400000" scaled="1"/>
        </a:gradFill>
        <a:ln w="12700">
          <a:solidFill>
            <a:srgbClr val="808080"/>
          </a:solidFill>
        </a:ln>
      </c:spPr>
    </c:plotArea>
    <c:legend>
      <c:legendPos val="r"/>
      <c:layout>
        <c:manualLayout>
          <c:xMode val="edge"/>
          <c:yMode val="edge"/>
          <c:x val="0.7325"/>
          <c:y val="0.30725"/>
          <c:w val="0.26325"/>
          <c:h val="0.20625"/>
        </c:manualLayout>
      </c:layout>
      <c:overlay val="0"/>
      <c:spPr>
        <a:solidFill>
          <a:srgbClr val="FFFFFF"/>
        </a:solidFill>
        <a:ln w="3175">
          <a:solidFill>
            <a:srgbClr val="000000"/>
          </a:solidFill>
        </a:ln>
      </c:spPr>
      <c:txPr>
        <a:bodyPr vert="horz" rot="0"/>
        <a:lstStyle/>
        <a:p>
          <a:pPr>
            <a:defRPr lang="en-US" cap="none" sz="11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solidFill>
                  <a:srgbClr val="000000"/>
                </a:solidFill>
                <a:latin typeface="Arial"/>
                <a:ea typeface="Arial"/>
                <a:cs typeface="Arial"/>
              </a:rPr>
              <a:t>Potential dermal exposure estimates
mechanical treatment</a:t>
            </a:r>
          </a:p>
        </c:rich>
      </c:tx>
      <c:layout>
        <c:manualLayout>
          <c:xMode val="factor"/>
          <c:yMode val="factor"/>
          <c:x val="0.0015"/>
          <c:y val="0"/>
        </c:manualLayout>
      </c:layout>
      <c:spPr>
        <a:noFill/>
        <a:ln>
          <a:noFill/>
        </a:ln>
      </c:spPr>
    </c:title>
    <c:plotArea>
      <c:layout>
        <c:manualLayout>
          <c:xMode val="edge"/>
          <c:yMode val="edge"/>
          <c:x val="0.07275"/>
          <c:y val="0.18725"/>
          <c:w val="0.61925"/>
          <c:h val="0.7465"/>
        </c:manualLayout>
      </c:layout>
      <c:scatterChart>
        <c:scatterStyle val="smoothMarker"/>
        <c:varyColors val="0"/>
        <c:ser>
          <c:idx val="0"/>
          <c:order val="0"/>
          <c:tx>
            <c:strRef>
              <c:f>Mechanical_treatment_results!$C$13</c:f>
              <c:strCache>
                <c:ptCount val="1"/>
                <c:pt idx="0">
                  <c:v>Hands rate (μL/min or mg/min)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Pt>
            <c:idx val="4"/>
            <c:spPr>
              <a:ln w="12700">
                <a:solidFill>
                  <a:srgbClr val="000080"/>
                </a:solidFill>
              </a:ln>
            </c:spPr>
            <c:marker>
              <c:size val="5"/>
              <c:spPr>
                <a:solidFill>
                  <a:srgbClr val="000080"/>
                </a:solidFill>
                <a:ln>
                  <a:solidFill>
                    <a:srgbClr val="000080"/>
                  </a:solidFill>
                </a:ln>
              </c:spPr>
            </c:marker>
          </c:dPt>
          <c:xVal>
            <c:numRef>
              <c:f>Mechanical_treatment_results!$B$14:$B$24</c:f>
              <c:numCache/>
            </c:numRef>
          </c:xVal>
          <c:yVal>
            <c:numRef>
              <c:f>Mechanical_treatment_results!$C$14:$C$24</c:f>
              <c:numCache/>
            </c:numRef>
          </c:yVal>
          <c:smooth val="1"/>
        </c:ser>
        <c:ser>
          <c:idx val="1"/>
          <c:order val="1"/>
          <c:tx>
            <c:strRef>
              <c:f>Mechanical_treatment_results!$D$13</c:f>
              <c:strCache>
                <c:ptCount val="1"/>
                <c:pt idx="0">
                  <c:v>Hands loading (μL or mg)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xVal>
            <c:numRef>
              <c:f>Mechanical_treatment_results!$B$14:$B$24</c:f>
              <c:numCache/>
            </c:numRef>
          </c:xVal>
          <c:yVal>
            <c:numRef>
              <c:f>Mechanical_treatment_results!$D$14:$D$24</c:f>
              <c:numCache/>
            </c:numRef>
          </c:yVal>
          <c:smooth val="1"/>
        </c:ser>
        <c:ser>
          <c:idx val="2"/>
          <c:order val="2"/>
          <c:tx>
            <c:strRef>
              <c:f>Mechanical_treatment_results!$E$13</c:f>
              <c:strCache>
                <c:ptCount val="1"/>
                <c:pt idx="0">
                  <c:v>Body rate (μL/min or mg/min)</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Mechanical_treatment_results!$B$14:$B$24</c:f>
              <c:numCache/>
            </c:numRef>
          </c:xVal>
          <c:yVal>
            <c:numRef>
              <c:f>Mechanical_treatment_results!$E$14:$E$24</c:f>
              <c:numCache/>
            </c:numRef>
          </c:yVal>
          <c:smooth val="1"/>
        </c:ser>
        <c:ser>
          <c:idx val="3"/>
          <c:order val="3"/>
          <c:tx>
            <c:strRef>
              <c:f>Mechanical_treatment_results!$F$13</c:f>
              <c:strCache>
                <c:ptCount val="1"/>
                <c:pt idx="0">
                  <c:v>Body loading (μL or mg)</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Mechanical_treatment_results!$B$14:$B$24</c:f>
              <c:numCache/>
            </c:numRef>
          </c:xVal>
          <c:yVal>
            <c:numRef>
              <c:f>Mechanical_treatment_results!$F$14:$F$24</c:f>
              <c:numCache/>
            </c:numRef>
          </c:yVal>
          <c:smooth val="1"/>
        </c:ser>
        <c:axId val="878650"/>
        <c:axId val="7907851"/>
      </c:scatterChart>
      <c:valAx>
        <c:axId val="878650"/>
        <c:scaling>
          <c:orientation val="minMax"/>
          <c:max val="1"/>
        </c:scaling>
        <c:axPos val="b"/>
        <c:title>
          <c:tx>
            <c:rich>
              <a:bodyPr vert="horz" rot="0" anchor="ctr"/>
              <a:lstStyle/>
              <a:p>
                <a:pPr algn="ctr">
                  <a:defRPr/>
                </a:pPr>
                <a:r>
                  <a:rPr lang="en-US" cap="none" sz="1925" b="1" i="0" u="none" baseline="0">
                    <a:solidFill>
                      <a:srgbClr val="000000"/>
                    </a:solidFill>
                    <a:latin typeface="Arial"/>
                    <a:ea typeface="Arial"/>
                    <a:cs typeface="Arial"/>
                  </a:rPr>
                  <a:t>percentile</a:t>
                </a:r>
              </a:p>
            </c:rich>
          </c:tx>
          <c:layout>
            <c:manualLayout>
              <c:xMode val="factor"/>
              <c:yMode val="factor"/>
              <c:x val="0.011"/>
              <c:y val="-0.00075"/>
            </c:manualLayout>
          </c:layout>
          <c:overlay val="0"/>
          <c:spPr>
            <a:noFill/>
            <a:ln>
              <a:noFill/>
            </a:ln>
          </c:spPr>
        </c:title>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7907851"/>
        <c:crosses val="autoZero"/>
        <c:crossBetween val="midCat"/>
        <c:dispUnits/>
        <c:majorUnit val="0.1"/>
        <c:minorUnit val="0.05"/>
      </c:valAx>
      <c:valAx>
        <c:axId val="7907851"/>
        <c:scaling>
          <c:logBase val="10"/>
          <c:orientation val="minMax"/>
        </c:scaling>
        <c:axPos val="l"/>
        <c:title>
          <c:tx>
            <c:rich>
              <a:bodyPr vert="horz" rot="-5400000" anchor="ctr"/>
              <a:lstStyle/>
              <a:p>
                <a:pPr algn="ctr">
                  <a:defRPr/>
                </a:pPr>
                <a:r>
                  <a:rPr lang="en-US" cap="none" sz="1925" b="1" i="0" u="none" baseline="0">
                    <a:solidFill>
                      <a:srgbClr val="000000"/>
                    </a:solidFill>
                    <a:latin typeface="Arial"/>
                    <a:ea typeface="Arial"/>
                    <a:cs typeface="Arial"/>
                  </a:rPr>
                  <a:t>value</a:t>
                </a:r>
              </a:p>
            </c:rich>
          </c:tx>
          <c:layout>
            <c:manualLayout>
              <c:xMode val="factor"/>
              <c:yMode val="factor"/>
              <c:x val="-0.0125"/>
              <c:y val="0.00075"/>
            </c:manualLayout>
          </c:layout>
          <c:overlay val="0"/>
          <c:spPr>
            <a:noFill/>
            <a:ln>
              <a:noFill/>
            </a:ln>
          </c:spPr>
        </c:title>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878650"/>
        <c:crosses val="autoZero"/>
        <c:crossBetween val="midCat"/>
        <c:dispUnits/>
        <c:minorUnit val="10"/>
      </c:valAx>
      <c:spPr>
        <a:gradFill rotWithShape="1">
          <a:gsLst>
            <a:gs pos="0">
              <a:srgbClr val="FF0000"/>
            </a:gs>
            <a:gs pos="100000">
              <a:srgbClr val="CCFFCC"/>
            </a:gs>
          </a:gsLst>
          <a:lin ang="5400000" scaled="1"/>
        </a:gradFill>
        <a:ln w="12700">
          <a:solidFill>
            <a:srgbClr val="808080"/>
          </a:solidFill>
        </a:ln>
      </c:spPr>
    </c:plotArea>
    <c:legend>
      <c:legendPos val="r"/>
      <c:layout>
        <c:manualLayout>
          <c:xMode val="edge"/>
          <c:yMode val="edge"/>
          <c:x val="0.6765"/>
          <c:y val="0.22475"/>
          <c:w val="0.31925"/>
          <c:h val="0.37125"/>
        </c:manualLayout>
      </c:layout>
      <c:overlay val="0"/>
      <c:spPr>
        <a:solidFill>
          <a:srgbClr val="FFFFFF"/>
        </a:solidFill>
        <a:ln w="3175">
          <a:solidFill>
            <a:srgbClr val="000000"/>
          </a:solidFill>
        </a:ln>
      </c:spPr>
      <c:txPr>
        <a:bodyPr vert="horz" rot="0"/>
        <a:lstStyle/>
        <a:p>
          <a:pPr>
            <a:defRPr lang="en-US" cap="none" sz="11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18.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24.emf" /><Relationship Id="rId3" Type="http://schemas.openxmlformats.org/officeDocument/2006/relationships/image" Target="../media/image8.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3.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5.emf" /><Relationship Id="rId3" Type="http://schemas.openxmlformats.org/officeDocument/2006/relationships/image" Target="../media/image2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emf" /><Relationship Id="rId3" Type="http://schemas.openxmlformats.org/officeDocument/2006/relationships/image" Target="../media/image2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6.emf" /><Relationship Id="rId3" Type="http://schemas.openxmlformats.org/officeDocument/2006/relationships/image" Target="../media/image15.emf" /><Relationship Id="rId4" Type="http://schemas.openxmlformats.org/officeDocument/2006/relationships/image" Target="../media/image4.emf" /><Relationship Id="rId5" Type="http://schemas.openxmlformats.org/officeDocument/2006/relationships/image" Target="../media/image31.emf" /><Relationship Id="rId6"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7.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9.emf" /><Relationship Id="rId3" Type="http://schemas.openxmlformats.org/officeDocument/2006/relationships/image" Target="../media/image17.emf" /></Relationships>
</file>

<file path=xl/drawings/_rels/drawing5.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30.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0.emf" /><Relationship Id="rId3" Type="http://schemas.openxmlformats.org/officeDocument/2006/relationships/image" Target="../media/image28.emf" /></Relationships>
</file>

<file path=xl/drawings/_rels/drawing7.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3.emf" /><Relationship Id="rId3" Type="http://schemas.openxmlformats.org/officeDocument/2006/relationships/image" Target="../media/image25.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18</xdr:row>
      <xdr:rowOff>95250</xdr:rowOff>
    </xdr:from>
    <xdr:to>
      <xdr:col>11</xdr:col>
      <xdr:colOff>38100</xdr:colOff>
      <xdr:row>20</xdr:row>
      <xdr:rowOff>47625</xdr:rowOff>
    </xdr:to>
    <xdr:pic>
      <xdr:nvPicPr>
        <xdr:cNvPr id="1" name="CommandButton2"/>
        <xdr:cNvPicPr preferRelativeResize="1">
          <a:picLocks noChangeAspect="1"/>
        </xdr:cNvPicPr>
      </xdr:nvPicPr>
      <xdr:blipFill>
        <a:blip r:embed="rId1"/>
        <a:stretch>
          <a:fillRect/>
        </a:stretch>
      </xdr:blipFill>
      <xdr:spPr>
        <a:xfrm>
          <a:off x="4143375" y="3048000"/>
          <a:ext cx="1676400" cy="314325"/>
        </a:xfrm>
        <a:prstGeom prst="rect">
          <a:avLst/>
        </a:prstGeom>
        <a:noFill/>
        <a:ln w="9525" cmpd="sng">
          <a:noFill/>
        </a:ln>
      </xdr:spPr>
    </xdr:pic>
    <xdr:clientData/>
  </xdr:twoCellAnchor>
  <xdr:twoCellAnchor editAs="oneCell">
    <xdr:from>
      <xdr:col>16</xdr:col>
      <xdr:colOff>542925</xdr:colOff>
      <xdr:row>1</xdr:row>
      <xdr:rowOff>0</xdr:rowOff>
    </xdr:from>
    <xdr:to>
      <xdr:col>18</xdr:col>
      <xdr:colOff>304800</xdr:colOff>
      <xdr:row>5</xdr:row>
      <xdr:rowOff>95250</xdr:rowOff>
    </xdr:to>
    <xdr:pic>
      <xdr:nvPicPr>
        <xdr:cNvPr id="2" name="Picture 38" descr="TNO logo"/>
        <xdr:cNvPicPr preferRelativeResize="1">
          <a:picLocks noChangeAspect="1"/>
        </xdr:cNvPicPr>
      </xdr:nvPicPr>
      <xdr:blipFill>
        <a:blip r:embed="rId2"/>
        <a:stretch>
          <a:fillRect/>
        </a:stretch>
      </xdr:blipFill>
      <xdr:spPr>
        <a:xfrm>
          <a:off x="9115425" y="161925"/>
          <a:ext cx="981075" cy="781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31</xdr:row>
      <xdr:rowOff>142875</xdr:rowOff>
    </xdr:from>
    <xdr:to>
      <xdr:col>6</xdr:col>
      <xdr:colOff>19050</xdr:colOff>
      <xdr:row>60</xdr:row>
      <xdr:rowOff>152400</xdr:rowOff>
    </xdr:to>
    <xdr:graphicFrame>
      <xdr:nvGraphicFramePr>
        <xdr:cNvPr id="1" name="Chart 1"/>
        <xdr:cNvGraphicFramePr/>
      </xdr:nvGraphicFramePr>
      <xdr:xfrm>
        <a:off x="152400" y="5676900"/>
        <a:ext cx="6800850" cy="470535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28575</xdr:colOff>
      <xdr:row>3</xdr:row>
      <xdr:rowOff>9525</xdr:rowOff>
    </xdr:from>
    <xdr:to>
      <xdr:col>7</xdr:col>
      <xdr:colOff>590550</xdr:colOff>
      <xdr:row>3</xdr:row>
      <xdr:rowOff>342900</xdr:rowOff>
    </xdr:to>
    <xdr:pic>
      <xdr:nvPicPr>
        <xdr:cNvPr id="2" name="CommandButton1"/>
        <xdr:cNvPicPr preferRelativeResize="1">
          <a:picLocks noChangeAspect="1"/>
        </xdr:cNvPicPr>
      </xdr:nvPicPr>
      <xdr:blipFill>
        <a:blip r:embed="rId2"/>
        <a:stretch>
          <a:fillRect/>
        </a:stretch>
      </xdr:blipFill>
      <xdr:spPr>
        <a:xfrm>
          <a:off x="6962775" y="438150"/>
          <a:ext cx="1171575" cy="333375"/>
        </a:xfrm>
        <a:prstGeom prst="rect">
          <a:avLst/>
        </a:prstGeom>
        <a:noFill/>
        <a:ln w="9525" cmpd="sng">
          <a:noFill/>
        </a:ln>
      </xdr:spPr>
    </xdr:pic>
    <xdr:clientData/>
  </xdr:twoCellAnchor>
  <xdr:twoCellAnchor editAs="oneCell">
    <xdr:from>
      <xdr:col>6</xdr:col>
      <xdr:colOff>28575</xdr:colOff>
      <xdr:row>4</xdr:row>
      <xdr:rowOff>190500</xdr:rowOff>
    </xdr:from>
    <xdr:to>
      <xdr:col>7</xdr:col>
      <xdr:colOff>590550</xdr:colOff>
      <xdr:row>6</xdr:row>
      <xdr:rowOff>9525</xdr:rowOff>
    </xdr:to>
    <xdr:pic>
      <xdr:nvPicPr>
        <xdr:cNvPr id="3" name="CommandButton2"/>
        <xdr:cNvPicPr preferRelativeResize="1">
          <a:picLocks noChangeAspect="1"/>
        </xdr:cNvPicPr>
      </xdr:nvPicPr>
      <xdr:blipFill>
        <a:blip r:embed="rId3"/>
        <a:stretch>
          <a:fillRect/>
        </a:stretch>
      </xdr:blipFill>
      <xdr:spPr>
        <a:xfrm>
          <a:off x="6962775" y="981075"/>
          <a:ext cx="1171575" cy="333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476250</xdr:colOff>
      <xdr:row>3</xdr:row>
      <xdr:rowOff>85725</xdr:rowOff>
    </xdr:from>
    <xdr:to>
      <xdr:col>3</xdr:col>
      <xdr:colOff>1914525</xdr:colOff>
      <xdr:row>5</xdr:row>
      <xdr:rowOff>76200</xdr:rowOff>
    </xdr:to>
    <xdr:pic>
      <xdr:nvPicPr>
        <xdr:cNvPr id="1" name="CommandButton1"/>
        <xdr:cNvPicPr preferRelativeResize="1">
          <a:picLocks noChangeAspect="1"/>
        </xdr:cNvPicPr>
      </xdr:nvPicPr>
      <xdr:blipFill>
        <a:blip r:embed="rId1"/>
        <a:stretch>
          <a:fillRect/>
        </a:stretch>
      </xdr:blipFill>
      <xdr:spPr>
        <a:xfrm>
          <a:off x="6381750" y="609600"/>
          <a:ext cx="1438275" cy="333375"/>
        </a:xfrm>
        <a:prstGeom prst="rect">
          <a:avLst/>
        </a:prstGeom>
        <a:noFill/>
        <a:ln w="9525" cmpd="sng">
          <a:noFill/>
        </a:ln>
      </xdr:spPr>
    </xdr:pic>
    <xdr:clientData/>
  </xdr:twoCellAnchor>
  <xdr:twoCellAnchor editAs="oneCell">
    <xdr:from>
      <xdr:col>3</xdr:col>
      <xdr:colOff>495300</xdr:colOff>
      <xdr:row>6</xdr:row>
      <xdr:rowOff>28575</xdr:rowOff>
    </xdr:from>
    <xdr:to>
      <xdr:col>3</xdr:col>
      <xdr:colOff>1924050</xdr:colOff>
      <xdr:row>8</xdr:row>
      <xdr:rowOff>47625</xdr:rowOff>
    </xdr:to>
    <xdr:pic>
      <xdr:nvPicPr>
        <xdr:cNvPr id="2" name="CommandButton2"/>
        <xdr:cNvPicPr preferRelativeResize="1">
          <a:picLocks noChangeAspect="1"/>
        </xdr:cNvPicPr>
      </xdr:nvPicPr>
      <xdr:blipFill>
        <a:blip r:embed="rId2"/>
        <a:stretch>
          <a:fillRect/>
        </a:stretch>
      </xdr:blipFill>
      <xdr:spPr>
        <a:xfrm>
          <a:off x="6400800" y="1057275"/>
          <a:ext cx="1428750" cy="361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25</xdr:row>
      <xdr:rowOff>142875</xdr:rowOff>
    </xdr:from>
    <xdr:to>
      <xdr:col>6</xdr:col>
      <xdr:colOff>19050</xdr:colOff>
      <xdr:row>54</xdr:row>
      <xdr:rowOff>152400</xdr:rowOff>
    </xdr:to>
    <xdr:graphicFrame>
      <xdr:nvGraphicFramePr>
        <xdr:cNvPr id="1" name="Chart 1"/>
        <xdr:cNvGraphicFramePr/>
      </xdr:nvGraphicFramePr>
      <xdr:xfrm>
        <a:off x="152400" y="4352925"/>
        <a:ext cx="6886575" cy="4705350"/>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9525</xdr:colOff>
      <xdr:row>0</xdr:row>
      <xdr:rowOff>152400</xdr:rowOff>
    </xdr:from>
    <xdr:to>
      <xdr:col>8</xdr:col>
      <xdr:colOff>571500</xdr:colOff>
      <xdr:row>3</xdr:row>
      <xdr:rowOff>57150</xdr:rowOff>
    </xdr:to>
    <xdr:pic>
      <xdr:nvPicPr>
        <xdr:cNvPr id="2" name="CommandButton1"/>
        <xdr:cNvPicPr preferRelativeResize="1">
          <a:picLocks noChangeAspect="1"/>
        </xdr:cNvPicPr>
      </xdr:nvPicPr>
      <xdr:blipFill>
        <a:blip r:embed="rId2"/>
        <a:stretch>
          <a:fillRect/>
        </a:stretch>
      </xdr:blipFill>
      <xdr:spPr>
        <a:xfrm>
          <a:off x="7639050" y="152400"/>
          <a:ext cx="1171575" cy="333375"/>
        </a:xfrm>
        <a:prstGeom prst="rect">
          <a:avLst/>
        </a:prstGeom>
        <a:noFill/>
        <a:ln w="9525" cmpd="sng">
          <a:noFill/>
        </a:ln>
      </xdr:spPr>
    </xdr:pic>
    <xdr:clientData/>
  </xdr:twoCellAnchor>
  <xdr:twoCellAnchor editAs="oneCell">
    <xdr:from>
      <xdr:col>7</xdr:col>
      <xdr:colOff>19050</xdr:colOff>
      <xdr:row>3</xdr:row>
      <xdr:rowOff>209550</xdr:rowOff>
    </xdr:from>
    <xdr:to>
      <xdr:col>8</xdr:col>
      <xdr:colOff>581025</xdr:colOff>
      <xdr:row>5</xdr:row>
      <xdr:rowOff>19050</xdr:rowOff>
    </xdr:to>
    <xdr:pic>
      <xdr:nvPicPr>
        <xdr:cNvPr id="3" name="CommandButton2"/>
        <xdr:cNvPicPr preferRelativeResize="1">
          <a:picLocks noChangeAspect="1"/>
        </xdr:cNvPicPr>
      </xdr:nvPicPr>
      <xdr:blipFill>
        <a:blip r:embed="rId3"/>
        <a:stretch>
          <a:fillRect/>
        </a:stretch>
      </xdr:blipFill>
      <xdr:spPr>
        <a:xfrm>
          <a:off x="7648575" y="638175"/>
          <a:ext cx="1171575" cy="333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828675</xdr:colOff>
      <xdr:row>3</xdr:row>
      <xdr:rowOff>28575</xdr:rowOff>
    </xdr:from>
    <xdr:to>
      <xdr:col>3</xdr:col>
      <xdr:colOff>2266950</xdr:colOff>
      <xdr:row>5</xdr:row>
      <xdr:rowOff>19050</xdr:rowOff>
    </xdr:to>
    <xdr:pic>
      <xdr:nvPicPr>
        <xdr:cNvPr id="1" name="CommandButton1"/>
        <xdr:cNvPicPr preferRelativeResize="1">
          <a:picLocks noChangeAspect="1"/>
        </xdr:cNvPicPr>
      </xdr:nvPicPr>
      <xdr:blipFill>
        <a:blip r:embed="rId1"/>
        <a:stretch>
          <a:fillRect/>
        </a:stretch>
      </xdr:blipFill>
      <xdr:spPr>
        <a:xfrm>
          <a:off x="6743700" y="552450"/>
          <a:ext cx="1438275" cy="333375"/>
        </a:xfrm>
        <a:prstGeom prst="rect">
          <a:avLst/>
        </a:prstGeom>
        <a:noFill/>
        <a:ln w="9525" cmpd="sng">
          <a:noFill/>
        </a:ln>
      </xdr:spPr>
    </xdr:pic>
    <xdr:clientData/>
  </xdr:twoCellAnchor>
  <xdr:twoCellAnchor editAs="oneCell">
    <xdr:from>
      <xdr:col>3</xdr:col>
      <xdr:colOff>828675</xdr:colOff>
      <xdr:row>5</xdr:row>
      <xdr:rowOff>123825</xdr:rowOff>
    </xdr:from>
    <xdr:to>
      <xdr:col>3</xdr:col>
      <xdr:colOff>2257425</xdr:colOff>
      <xdr:row>7</xdr:row>
      <xdr:rowOff>142875</xdr:rowOff>
    </xdr:to>
    <xdr:pic>
      <xdr:nvPicPr>
        <xdr:cNvPr id="2" name="CommandButton2"/>
        <xdr:cNvPicPr preferRelativeResize="1">
          <a:picLocks noChangeAspect="1"/>
        </xdr:cNvPicPr>
      </xdr:nvPicPr>
      <xdr:blipFill>
        <a:blip r:embed="rId2"/>
        <a:stretch>
          <a:fillRect/>
        </a:stretch>
      </xdr:blipFill>
      <xdr:spPr>
        <a:xfrm>
          <a:off x="6743700" y="990600"/>
          <a:ext cx="1428750" cy="3619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25</xdr:row>
      <xdr:rowOff>142875</xdr:rowOff>
    </xdr:from>
    <xdr:to>
      <xdr:col>6</xdr:col>
      <xdr:colOff>19050</xdr:colOff>
      <xdr:row>54</xdr:row>
      <xdr:rowOff>152400</xdr:rowOff>
    </xdr:to>
    <xdr:graphicFrame>
      <xdr:nvGraphicFramePr>
        <xdr:cNvPr id="1" name="Chart 1"/>
        <xdr:cNvGraphicFramePr/>
      </xdr:nvGraphicFramePr>
      <xdr:xfrm>
        <a:off x="152400" y="4514850"/>
        <a:ext cx="6886575" cy="4705350"/>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38100</xdr:colOff>
      <xdr:row>1</xdr:row>
      <xdr:rowOff>9525</xdr:rowOff>
    </xdr:from>
    <xdr:to>
      <xdr:col>8</xdr:col>
      <xdr:colOff>600075</xdr:colOff>
      <xdr:row>3</xdr:row>
      <xdr:rowOff>76200</xdr:rowOff>
    </xdr:to>
    <xdr:pic>
      <xdr:nvPicPr>
        <xdr:cNvPr id="2" name="CommandButton1"/>
        <xdr:cNvPicPr preferRelativeResize="1">
          <a:picLocks noChangeAspect="1"/>
        </xdr:cNvPicPr>
      </xdr:nvPicPr>
      <xdr:blipFill>
        <a:blip r:embed="rId2"/>
        <a:stretch>
          <a:fillRect/>
        </a:stretch>
      </xdr:blipFill>
      <xdr:spPr>
        <a:xfrm>
          <a:off x="7667625" y="171450"/>
          <a:ext cx="1171575" cy="333375"/>
        </a:xfrm>
        <a:prstGeom prst="rect">
          <a:avLst/>
        </a:prstGeom>
        <a:noFill/>
        <a:ln w="9525" cmpd="sng">
          <a:noFill/>
        </a:ln>
      </xdr:spPr>
    </xdr:pic>
    <xdr:clientData/>
  </xdr:twoCellAnchor>
  <xdr:twoCellAnchor editAs="oneCell">
    <xdr:from>
      <xdr:col>7</xdr:col>
      <xdr:colOff>47625</xdr:colOff>
      <xdr:row>3</xdr:row>
      <xdr:rowOff>161925</xdr:rowOff>
    </xdr:from>
    <xdr:to>
      <xdr:col>9</xdr:col>
      <xdr:colOff>0</xdr:colOff>
      <xdr:row>4</xdr:row>
      <xdr:rowOff>133350</xdr:rowOff>
    </xdr:to>
    <xdr:pic>
      <xdr:nvPicPr>
        <xdr:cNvPr id="3" name="CommandButton2"/>
        <xdr:cNvPicPr preferRelativeResize="1">
          <a:picLocks noChangeAspect="1"/>
        </xdr:cNvPicPr>
      </xdr:nvPicPr>
      <xdr:blipFill>
        <a:blip r:embed="rId3"/>
        <a:stretch>
          <a:fillRect/>
        </a:stretch>
      </xdr:blipFill>
      <xdr:spPr>
        <a:xfrm>
          <a:off x="7677150" y="590550"/>
          <a:ext cx="1171575" cy="3333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1704975</xdr:colOff>
      <xdr:row>26</xdr:row>
      <xdr:rowOff>114300</xdr:rowOff>
    </xdr:from>
    <xdr:to>
      <xdr:col>7</xdr:col>
      <xdr:colOff>438150</xdr:colOff>
      <xdr:row>28</xdr:row>
      <xdr:rowOff>104775</xdr:rowOff>
    </xdr:to>
    <xdr:sp>
      <xdr:nvSpPr>
        <xdr:cNvPr id="1" name="Line 6"/>
        <xdr:cNvSpPr>
          <a:spLocks/>
        </xdr:cNvSpPr>
      </xdr:nvSpPr>
      <xdr:spPr>
        <a:xfrm>
          <a:off x="4838700" y="4705350"/>
          <a:ext cx="2228850" cy="314325"/>
        </a:xfrm>
        <a:prstGeom prst="line">
          <a:avLst/>
        </a:prstGeom>
        <a:noFill/>
        <a:ln w="28575" cmpd="sng">
          <a:solidFill>
            <a:srgbClr val="FF99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1123950</xdr:colOff>
      <xdr:row>25</xdr:row>
      <xdr:rowOff>38100</xdr:rowOff>
    </xdr:from>
    <xdr:to>
      <xdr:col>7</xdr:col>
      <xdr:colOff>342900</xdr:colOff>
      <xdr:row>27</xdr:row>
      <xdr:rowOff>57150</xdr:rowOff>
    </xdr:to>
    <xdr:sp>
      <xdr:nvSpPr>
        <xdr:cNvPr id="2" name="Line 3"/>
        <xdr:cNvSpPr>
          <a:spLocks/>
        </xdr:cNvSpPr>
      </xdr:nvSpPr>
      <xdr:spPr>
        <a:xfrm>
          <a:off x="4257675" y="4457700"/>
          <a:ext cx="2714625" cy="352425"/>
        </a:xfrm>
        <a:prstGeom prst="line">
          <a:avLst/>
        </a:prstGeom>
        <a:noFill/>
        <a:ln w="2857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5</xdr:row>
      <xdr:rowOff>133350</xdr:rowOff>
    </xdr:from>
    <xdr:to>
      <xdr:col>3</xdr:col>
      <xdr:colOff>390525</xdr:colOff>
      <xdr:row>8</xdr:row>
      <xdr:rowOff>47625</xdr:rowOff>
    </xdr:to>
    <xdr:pic>
      <xdr:nvPicPr>
        <xdr:cNvPr id="1" name="CommandButton1"/>
        <xdr:cNvPicPr preferRelativeResize="1">
          <a:picLocks noChangeAspect="1"/>
        </xdr:cNvPicPr>
      </xdr:nvPicPr>
      <xdr:blipFill>
        <a:blip r:embed="rId1"/>
        <a:stretch>
          <a:fillRect/>
        </a:stretch>
      </xdr:blipFill>
      <xdr:spPr>
        <a:xfrm>
          <a:off x="200025" y="1019175"/>
          <a:ext cx="1571625" cy="400050"/>
        </a:xfrm>
        <a:prstGeom prst="rect">
          <a:avLst/>
        </a:prstGeom>
        <a:noFill/>
        <a:ln w="9525" cmpd="sng">
          <a:noFill/>
        </a:ln>
      </xdr:spPr>
    </xdr:pic>
    <xdr:clientData/>
  </xdr:twoCellAnchor>
  <xdr:twoCellAnchor editAs="oneCell">
    <xdr:from>
      <xdr:col>1</xdr:col>
      <xdr:colOff>19050</xdr:colOff>
      <xdr:row>10</xdr:row>
      <xdr:rowOff>19050</xdr:rowOff>
    </xdr:from>
    <xdr:to>
      <xdr:col>3</xdr:col>
      <xdr:colOff>361950</xdr:colOff>
      <xdr:row>12</xdr:row>
      <xdr:rowOff>57150</xdr:rowOff>
    </xdr:to>
    <xdr:pic>
      <xdr:nvPicPr>
        <xdr:cNvPr id="2" name="CommandButton2"/>
        <xdr:cNvPicPr preferRelativeResize="1">
          <a:picLocks noChangeAspect="1"/>
        </xdr:cNvPicPr>
      </xdr:nvPicPr>
      <xdr:blipFill>
        <a:blip r:embed="rId2"/>
        <a:stretch>
          <a:fillRect/>
        </a:stretch>
      </xdr:blipFill>
      <xdr:spPr>
        <a:xfrm>
          <a:off x="180975" y="1714500"/>
          <a:ext cx="1562100" cy="361950"/>
        </a:xfrm>
        <a:prstGeom prst="rect">
          <a:avLst/>
        </a:prstGeom>
        <a:noFill/>
        <a:ln w="9525" cmpd="sng">
          <a:noFill/>
        </a:ln>
      </xdr:spPr>
    </xdr:pic>
    <xdr:clientData/>
  </xdr:twoCellAnchor>
  <xdr:twoCellAnchor editAs="oneCell">
    <xdr:from>
      <xdr:col>1</xdr:col>
      <xdr:colOff>19050</xdr:colOff>
      <xdr:row>14</xdr:row>
      <xdr:rowOff>0</xdr:rowOff>
    </xdr:from>
    <xdr:to>
      <xdr:col>3</xdr:col>
      <xdr:colOff>361950</xdr:colOff>
      <xdr:row>16</xdr:row>
      <xdr:rowOff>38100</xdr:rowOff>
    </xdr:to>
    <xdr:pic>
      <xdr:nvPicPr>
        <xdr:cNvPr id="3" name="CommandButton3"/>
        <xdr:cNvPicPr preferRelativeResize="1">
          <a:picLocks noChangeAspect="1"/>
        </xdr:cNvPicPr>
      </xdr:nvPicPr>
      <xdr:blipFill>
        <a:blip r:embed="rId3"/>
        <a:stretch>
          <a:fillRect/>
        </a:stretch>
      </xdr:blipFill>
      <xdr:spPr>
        <a:xfrm>
          <a:off x="180975" y="2343150"/>
          <a:ext cx="1562100" cy="361950"/>
        </a:xfrm>
        <a:prstGeom prst="rect">
          <a:avLst/>
        </a:prstGeom>
        <a:noFill/>
        <a:ln w="9525" cmpd="sng">
          <a:noFill/>
        </a:ln>
      </xdr:spPr>
    </xdr:pic>
    <xdr:clientData/>
  </xdr:twoCellAnchor>
  <xdr:twoCellAnchor editAs="oneCell">
    <xdr:from>
      <xdr:col>1</xdr:col>
      <xdr:colOff>9525</xdr:colOff>
      <xdr:row>18</xdr:row>
      <xdr:rowOff>0</xdr:rowOff>
    </xdr:from>
    <xdr:to>
      <xdr:col>3</xdr:col>
      <xdr:colOff>352425</xdr:colOff>
      <xdr:row>20</xdr:row>
      <xdr:rowOff>38100</xdr:rowOff>
    </xdr:to>
    <xdr:pic>
      <xdr:nvPicPr>
        <xdr:cNvPr id="4" name="CommandButton4"/>
        <xdr:cNvPicPr preferRelativeResize="1">
          <a:picLocks noChangeAspect="1"/>
        </xdr:cNvPicPr>
      </xdr:nvPicPr>
      <xdr:blipFill>
        <a:blip r:embed="rId4"/>
        <a:stretch>
          <a:fillRect/>
        </a:stretch>
      </xdr:blipFill>
      <xdr:spPr>
        <a:xfrm>
          <a:off x="171450" y="2990850"/>
          <a:ext cx="1562100" cy="361950"/>
        </a:xfrm>
        <a:prstGeom prst="rect">
          <a:avLst/>
        </a:prstGeom>
        <a:noFill/>
        <a:ln w="9525" cmpd="sng">
          <a:noFill/>
        </a:ln>
      </xdr:spPr>
    </xdr:pic>
    <xdr:clientData/>
  </xdr:twoCellAnchor>
  <xdr:twoCellAnchor editAs="oneCell">
    <xdr:from>
      <xdr:col>1</xdr:col>
      <xdr:colOff>19050</xdr:colOff>
      <xdr:row>22</xdr:row>
      <xdr:rowOff>9525</xdr:rowOff>
    </xdr:from>
    <xdr:to>
      <xdr:col>3</xdr:col>
      <xdr:colOff>361950</xdr:colOff>
      <xdr:row>24</xdr:row>
      <xdr:rowOff>47625</xdr:rowOff>
    </xdr:to>
    <xdr:pic>
      <xdr:nvPicPr>
        <xdr:cNvPr id="5" name="CommandButton5"/>
        <xdr:cNvPicPr preferRelativeResize="1">
          <a:picLocks noChangeAspect="1"/>
        </xdr:cNvPicPr>
      </xdr:nvPicPr>
      <xdr:blipFill>
        <a:blip r:embed="rId5"/>
        <a:stretch>
          <a:fillRect/>
        </a:stretch>
      </xdr:blipFill>
      <xdr:spPr>
        <a:xfrm>
          <a:off x="180975" y="3648075"/>
          <a:ext cx="1562100" cy="361950"/>
        </a:xfrm>
        <a:prstGeom prst="rect">
          <a:avLst/>
        </a:prstGeom>
        <a:noFill/>
        <a:ln w="9525" cmpd="sng">
          <a:noFill/>
        </a:ln>
      </xdr:spPr>
    </xdr:pic>
    <xdr:clientData/>
  </xdr:twoCellAnchor>
  <xdr:twoCellAnchor editAs="oneCell">
    <xdr:from>
      <xdr:col>1</xdr:col>
      <xdr:colOff>28575</xdr:colOff>
      <xdr:row>25</xdr:row>
      <xdr:rowOff>0</xdr:rowOff>
    </xdr:from>
    <xdr:to>
      <xdr:col>3</xdr:col>
      <xdr:colOff>371475</xdr:colOff>
      <xdr:row>27</xdr:row>
      <xdr:rowOff>38100</xdr:rowOff>
    </xdr:to>
    <xdr:pic>
      <xdr:nvPicPr>
        <xdr:cNvPr id="6" name="CommandButton6"/>
        <xdr:cNvPicPr preferRelativeResize="1">
          <a:picLocks noChangeAspect="1"/>
        </xdr:cNvPicPr>
      </xdr:nvPicPr>
      <xdr:blipFill>
        <a:blip r:embed="rId6"/>
        <a:stretch>
          <a:fillRect/>
        </a:stretch>
      </xdr:blipFill>
      <xdr:spPr>
        <a:xfrm>
          <a:off x="190500" y="4124325"/>
          <a:ext cx="15621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1247775</xdr:colOff>
      <xdr:row>17</xdr:row>
      <xdr:rowOff>76200</xdr:rowOff>
    </xdr:from>
    <xdr:to>
      <xdr:col>3</xdr:col>
      <xdr:colOff>2686050</xdr:colOff>
      <xdr:row>19</xdr:row>
      <xdr:rowOff>76200</xdr:rowOff>
    </xdr:to>
    <xdr:pic>
      <xdr:nvPicPr>
        <xdr:cNvPr id="1" name="CommandButton1"/>
        <xdr:cNvPicPr preferRelativeResize="1">
          <a:picLocks noChangeAspect="1"/>
        </xdr:cNvPicPr>
      </xdr:nvPicPr>
      <xdr:blipFill>
        <a:blip r:embed="rId1"/>
        <a:stretch>
          <a:fillRect/>
        </a:stretch>
      </xdr:blipFill>
      <xdr:spPr>
        <a:xfrm>
          <a:off x="5762625" y="4438650"/>
          <a:ext cx="1438275" cy="333375"/>
        </a:xfrm>
        <a:prstGeom prst="rect">
          <a:avLst/>
        </a:prstGeom>
        <a:noFill/>
        <a:ln w="9525" cmpd="sng">
          <a:noFill/>
        </a:ln>
      </xdr:spPr>
    </xdr:pic>
    <xdr:clientData/>
  </xdr:twoCellAnchor>
  <xdr:twoCellAnchor editAs="oneCell">
    <xdr:from>
      <xdr:col>3</xdr:col>
      <xdr:colOff>1257300</xdr:colOff>
      <xdr:row>19</xdr:row>
      <xdr:rowOff>200025</xdr:rowOff>
    </xdr:from>
    <xdr:to>
      <xdr:col>3</xdr:col>
      <xdr:colOff>2686050</xdr:colOff>
      <xdr:row>19</xdr:row>
      <xdr:rowOff>514350</xdr:rowOff>
    </xdr:to>
    <xdr:pic>
      <xdr:nvPicPr>
        <xdr:cNvPr id="2" name="CommandButton2"/>
        <xdr:cNvPicPr preferRelativeResize="1">
          <a:picLocks noChangeAspect="1"/>
        </xdr:cNvPicPr>
      </xdr:nvPicPr>
      <xdr:blipFill>
        <a:blip r:embed="rId2"/>
        <a:stretch>
          <a:fillRect/>
        </a:stretch>
      </xdr:blipFill>
      <xdr:spPr>
        <a:xfrm>
          <a:off x="5772150" y="4895850"/>
          <a:ext cx="1428750"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29</xdr:row>
      <xdr:rowOff>142875</xdr:rowOff>
    </xdr:from>
    <xdr:to>
      <xdr:col>6</xdr:col>
      <xdr:colOff>19050</xdr:colOff>
      <xdr:row>58</xdr:row>
      <xdr:rowOff>152400</xdr:rowOff>
    </xdr:to>
    <xdr:graphicFrame>
      <xdr:nvGraphicFramePr>
        <xdr:cNvPr id="1" name="Chart 1"/>
        <xdr:cNvGraphicFramePr/>
      </xdr:nvGraphicFramePr>
      <xdr:xfrm>
        <a:off x="209550" y="5162550"/>
        <a:ext cx="7362825" cy="470535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28575</xdr:colOff>
      <xdr:row>3</xdr:row>
      <xdr:rowOff>9525</xdr:rowOff>
    </xdr:from>
    <xdr:to>
      <xdr:col>7</xdr:col>
      <xdr:colOff>590550</xdr:colOff>
      <xdr:row>3</xdr:row>
      <xdr:rowOff>342900</xdr:rowOff>
    </xdr:to>
    <xdr:pic>
      <xdr:nvPicPr>
        <xdr:cNvPr id="2" name="CommandButton1"/>
        <xdr:cNvPicPr preferRelativeResize="1">
          <a:picLocks noChangeAspect="1"/>
        </xdr:cNvPicPr>
      </xdr:nvPicPr>
      <xdr:blipFill>
        <a:blip r:embed="rId2"/>
        <a:stretch>
          <a:fillRect/>
        </a:stretch>
      </xdr:blipFill>
      <xdr:spPr>
        <a:xfrm>
          <a:off x="7581900" y="438150"/>
          <a:ext cx="1171575" cy="333375"/>
        </a:xfrm>
        <a:prstGeom prst="rect">
          <a:avLst/>
        </a:prstGeom>
        <a:noFill/>
        <a:ln w="9525" cmpd="sng">
          <a:noFill/>
        </a:ln>
      </xdr:spPr>
    </xdr:pic>
    <xdr:clientData/>
  </xdr:twoCellAnchor>
  <xdr:twoCellAnchor editAs="oneCell">
    <xdr:from>
      <xdr:col>6</xdr:col>
      <xdr:colOff>38100</xdr:colOff>
      <xdr:row>4</xdr:row>
      <xdr:rowOff>95250</xdr:rowOff>
    </xdr:from>
    <xdr:to>
      <xdr:col>7</xdr:col>
      <xdr:colOff>600075</xdr:colOff>
      <xdr:row>6</xdr:row>
      <xdr:rowOff>104775</xdr:rowOff>
    </xdr:to>
    <xdr:pic>
      <xdr:nvPicPr>
        <xdr:cNvPr id="3" name="CommandButton2"/>
        <xdr:cNvPicPr preferRelativeResize="1">
          <a:picLocks noChangeAspect="1"/>
        </xdr:cNvPicPr>
      </xdr:nvPicPr>
      <xdr:blipFill>
        <a:blip r:embed="rId3"/>
        <a:stretch>
          <a:fillRect/>
        </a:stretch>
      </xdr:blipFill>
      <xdr:spPr>
        <a:xfrm>
          <a:off x="7591425" y="885825"/>
          <a:ext cx="1171575"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409575</xdr:colOff>
      <xdr:row>4</xdr:row>
      <xdr:rowOff>390525</xdr:rowOff>
    </xdr:from>
    <xdr:to>
      <xdr:col>3</xdr:col>
      <xdr:colOff>1847850</xdr:colOff>
      <xdr:row>6</xdr:row>
      <xdr:rowOff>161925</xdr:rowOff>
    </xdr:to>
    <xdr:pic>
      <xdr:nvPicPr>
        <xdr:cNvPr id="1" name="CommandButton1"/>
        <xdr:cNvPicPr preferRelativeResize="1">
          <a:picLocks noChangeAspect="1"/>
        </xdr:cNvPicPr>
      </xdr:nvPicPr>
      <xdr:blipFill>
        <a:blip r:embed="rId1"/>
        <a:stretch>
          <a:fillRect/>
        </a:stretch>
      </xdr:blipFill>
      <xdr:spPr>
        <a:xfrm>
          <a:off x="6477000" y="1085850"/>
          <a:ext cx="1438275" cy="333375"/>
        </a:xfrm>
        <a:prstGeom prst="rect">
          <a:avLst/>
        </a:prstGeom>
        <a:noFill/>
        <a:ln w="9525" cmpd="sng">
          <a:noFill/>
        </a:ln>
      </xdr:spPr>
    </xdr:pic>
    <xdr:clientData/>
  </xdr:twoCellAnchor>
  <xdr:twoCellAnchor editAs="oneCell">
    <xdr:from>
      <xdr:col>3</xdr:col>
      <xdr:colOff>409575</xdr:colOff>
      <xdr:row>8</xdr:row>
      <xdr:rowOff>9525</xdr:rowOff>
    </xdr:from>
    <xdr:to>
      <xdr:col>3</xdr:col>
      <xdr:colOff>1838325</xdr:colOff>
      <xdr:row>9</xdr:row>
      <xdr:rowOff>161925</xdr:rowOff>
    </xdr:to>
    <xdr:pic>
      <xdr:nvPicPr>
        <xdr:cNvPr id="2" name="CommandButton2"/>
        <xdr:cNvPicPr preferRelativeResize="1">
          <a:picLocks noChangeAspect="1"/>
        </xdr:cNvPicPr>
      </xdr:nvPicPr>
      <xdr:blipFill>
        <a:blip r:embed="rId2"/>
        <a:stretch>
          <a:fillRect/>
        </a:stretch>
      </xdr:blipFill>
      <xdr:spPr>
        <a:xfrm>
          <a:off x="6477000" y="1609725"/>
          <a:ext cx="1428750"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23</xdr:row>
      <xdr:rowOff>142875</xdr:rowOff>
    </xdr:from>
    <xdr:to>
      <xdr:col>7</xdr:col>
      <xdr:colOff>209550</xdr:colOff>
      <xdr:row>52</xdr:row>
      <xdr:rowOff>152400</xdr:rowOff>
    </xdr:to>
    <xdr:graphicFrame>
      <xdr:nvGraphicFramePr>
        <xdr:cNvPr id="1" name="Chart 2"/>
        <xdr:cNvGraphicFramePr/>
      </xdr:nvGraphicFramePr>
      <xdr:xfrm>
        <a:off x="209550" y="4286250"/>
        <a:ext cx="8239125" cy="470535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0</xdr:colOff>
      <xdr:row>1</xdr:row>
      <xdr:rowOff>28575</xdr:rowOff>
    </xdr:from>
    <xdr:to>
      <xdr:col>7</xdr:col>
      <xdr:colOff>561975</xdr:colOff>
      <xdr:row>2</xdr:row>
      <xdr:rowOff>9525</xdr:rowOff>
    </xdr:to>
    <xdr:pic>
      <xdr:nvPicPr>
        <xdr:cNvPr id="2" name="CommandButton1"/>
        <xdr:cNvPicPr preferRelativeResize="1">
          <a:picLocks noChangeAspect="1"/>
        </xdr:cNvPicPr>
      </xdr:nvPicPr>
      <xdr:blipFill>
        <a:blip r:embed="rId2"/>
        <a:stretch>
          <a:fillRect/>
        </a:stretch>
      </xdr:blipFill>
      <xdr:spPr>
        <a:xfrm>
          <a:off x="7629525" y="190500"/>
          <a:ext cx="1171575" cy="333375"/>
        </a:xfrm>
        <a:prstGeom prst="rect">
          <a:avLst/>
        </a:prstGeom>
        <a:noFill/>
        <a:ln w="9525" cmpd="sng">
          <a:noFill/>
        </a:ln>
      </xdr:spPr>
    </xdr:pic>
    <xdr:clientData/>
  </xdr:twoCellAnchor>
  <xdr:twoCellAnchor editAs="oneCell">
    <xdr:from>
      <xdr:col>6</xdr:col>
      <xdr:colOff>0</xdr:colOff>
      <xdr:row>3</xdr:row>
      <xdr:rowOff>9525</xdr:rowOff>
    </xdr:from>
    <xdr:to>
      <xdr:col>7</xdr:col>
      <xdr:colOff>561975</xdr:colOff>
      <xdr:row>3</xdr:row>
      <xdr:rowOff>342900</xdr:rowOff>
    </xdr:to>
    <xdr:pic>
      <xdr:nvPicPr>
        <xdr:cNvPr id="3" name="CommandButton2"/>
        <xdr:cNvPicPr preferRelativeResize="1">
          <a:picLocks noChangeAspect="1"/>
        </xdr:cNvPicPr>
      </xdr:nvPicPr>
      <xdr:blipFill>
        <a:blip r:embed="rId3"/>
        <a:stretch>
          <a:fillRect/>
        </a:stretch>
      </xdr:blipFill>
      <xdr:spPr>
        <a:xfrm>
          <a:off x="7629525" y="685800"/>
          <a:ext cx="1171575" cy="333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5</xdr:row>
      <xdr:rowOff>123825</xdr:rowOff>
    </xdr:from>
    <xdr:to>
      <xdr:col>3</xdr:col>
      <xdr:colOff>1828800</xdr:colOff>
      <xdr:row>7</xdr:row>
      <xdr:rowOff>114300</xdr:rowOff>
    </xdr:to>
    <xdr:pic>
      <xdr:nvPicPr>
        <xdr:cNvPr id="1" name="CommandButton1"/>
        <xdr:cNvPicPr preferRelativeResize="1">
          <a:picLocks noChangeAspect="1"/>
        </xdr:cNvPicPr>
      </xdr:nvPicPr>
      <xdr:blipFill>
        <a:blip r:embed="rId1"/>
        <a:stretch>
          <a:fillRect/>
        </a:stretch>
      </xdr:blipFill>
      <xdr:spPr>
        <a:xfrm>
          <a:off x="6810375" y="1152525"/>
          <a:ext cx="1438275" cy="333375"/>
        </a:xfrm>
        <a:prstGeom prst="rect">
          <a:avLst/>
        </a:prstGeom>
        <a:noFill/>
        <a:ln w="9525" cmpd="sng">
          <a:noFill/>
        </a:ln>
      </xdr:spPr>
    </xdr:pic>
    <xdr:clientData/>
  </xdr:twoCellAnchor>
  <xdr:twoCellAnchor editAs="oneCell">
    <xdr:from>
      <xdr:col>3</xdr:col>
      <xdr:colOff>409575</xdr:colOff>
      <xdr:row>9</xdr:row>
      <xdr:rowOff>104775</xdr:rowOff>
    </xdr:from>
    <xdr:to>
      <xdr:col>3</xdr:col>
      <xdr:colOff>1838325</xdr:colOff>
      <xdr:row>11</xdr:row>
      <xdr:rowOff>85725</xdr:rowOff>
    </xdr:to>
    <xdr:pic>
      <xdr:nvPicPr>
        <xdr:cNvPr id="2" name="CommandButton2"/>
        <xdr:cNvPicPr preferRelativeResize="1">
          <a:picLocks noChangeAspect="1"/>
        </xdr:cNvPicPr>
      </xdr:nvPicPr>
      <xdr:blipFill>
        <a:blip r:embed="rId2"/>
        <a:stretch>
          <a:fillRect/>
        </a:stretch>
      </xdr:blipFill>
      <xdr:spPr>
        <a:xfrm>
          <a:off x="6829425" y="1809750"/>
          <a:ext cx="1428750"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25</xdr:row>
      <xdr:rowOff>142875</xdr:rowOff>
    </xdr:from>
    <xdr:to>
      <xdr:col>7</xdr:col>
      <xdr:colOff>209550</xdr:colOff>
      <xdr:row>54</xdr:row>
      <xdr:rowOff>152400</xdr:rowOff>
    </xdr:to>
    <xdr:graphicFrame>
      <xdr:nvGraphicFramePr>
        <xdr:cNvPr id="1" name="Chart 1"/>
        <xdr:cNvGraphicFramePr/>
      </xdr:nvGraphicFramePr>
      <xdr:xfrm>
        <a:off x="209550" y="4667250"/>
        <a:ext cx="8239125" cy="470535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0</xdr:colOff>
      <xdr:row>1</xdr:row>
      <xdr:rowOff>28575</xdr:rowOff>
    </xdr:from>
    <xdr:to>
      <xdr:col>7</xdr:col>
      <xdr:colOff>561975</xdr:colOff>
      <xdr:row>2</xdr:row>
      <xdr:rowOff>9525</xdr:rowOff>
    </xdr:to>
    <xdr:pic>
      <xdr:nvPicPr>
        <xdr:cNvPr id="2" name="CommandButton1"/>
        <xdr:cNvPicPr preferRelativeResize="1">
          <a:picLocks noChangeAspect="1"/>
        </xdr:cNvPicPr>
      </xdr:nvPicPr>
      <xdr:blipFill>
        <a:blip r:embed="rId2"/>
        <a:stretch>
          <a:fillRect/>
        </a:stretch>
      </xdr:blipFill>
      <xdr:spPr>
        <a:xfrm>
          <a:off x="7629525" y="190500"/>
          <a:ext cx="1171575" cy="333375"/>
        </a:xfrm>
        <a:prstGeom prst="rect">
          <a:avLst/>
        </a:prstGeom>
        <a:noFill/>
        <a:ln w="9525" cmpd="sng">
          <a:noFill/>
        </a:ln>
      </xdr:spPr>
    </xdr:pic>
    <xdr:clientData/>
  </xdr:twoCellAnchor>
  <xdr:twoCellAnchor editAs="oneCell">
    <xdr:from>
      <xdr:col>6</xdr:col>
      <xdr:colOff>0</xdr:colOff>
      <xdr:row>3</xdr:row>
      <xdr:rowOff>9525</xdr:rowOff>
    </xdr:from>
    <xdr:to>
      <xdr:col>7</xdr:col>
      <xdr:colOff>561975</xdr:colOff>
      <xdr:row>3</xdr:row>
      <xdr:rowOff>342900</xdr:rowOff>
    </xdr:to>
    <xdr:pic>
      <xdr:nvPicPr>
        <xdr:cNvPr id="3" name="CommandButton2"/>
        <xdr:cNvPicPr preferRelativeResize="1">
          <a:picLocks noChangeAspect="1"/>
        </xdr:cNvPicPr>
      </xdr:nvPicPr>
      <xdr:blipFill>
        <a:blip r:embed="rId3"/>
        <a:stretch>
          <a:fillRect/>
        </a:stretch>
      </xdr:blipFill>
      <xdr:spPr>
        <a:xfrm>
          <a:off x="7629525" y="685800"/>
          <a:ext cx="1171575" cy="333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16</xdr:row>
      <xdr:rowOff>95250</xdr:rowOff>
    </xdr:from>
    <xdr:to>
      <xdr:col>4</xdr:col>
      <xdr:colOff>38100</xdr:colOff>
      <xdr:row>18</xdr:row>
      <xdr:rowOff>85725</xdr:rowOff>
    </xdr:to>
    <xdr:pic>
      <xdr:nvPicPr>
        <xdr:cNvPr id="1" name="CommandButton1"/>
        <xdr:cNvPicPr preferRelativeResize="1">
          <a:picLocks noChangeAspect="1"/>
        </xdr:cNvPicPr>
      </xdr:nvPicPr>
      <xdr:blipFill>
        <a:blip r:embed="rId1"/>
        <a:stretch>
          <a:fillRect/>
        </a:stretch>
      </xdr:blipFill>
      <xdr:spPr>
        <a:xfrm>
          <a:off x="6257925" y="3476625"/>
          <a:ext cx="1438275" cy="333375"/>
        </a:xfrm>
        <a:prstGeom prst="rect">
          <a:avLst/>
        </a:prstGeom>
        <a:noFill/>
        <a:ln w="9525" cmpd="sng">
          <a:noFill/>
        </a:ln>
      </xdr:spPr>
    </xdr:pic>
    <xdr:clientData/>
  </xdr:twoCellAnchor>
  <xdr:twoCellAnchor editAs="oneCell">
    <xdr:from>
      <xdr:col>3</xdr:col>
      <xdr:colOff>1057275</xdr:colOff>
      <xdr:row>19</xdr:row>
      <xdr:rowOff>190500</xdr:rowOff>
    </xdr:from>
    <xdr:to>
      <xdr:col>4</xdr:col>
      <xdr:colOff>47625</xdr:colOff>
      <xdr:row>21</xdr:row>
      <xdr:rowOff>57150</xdr:rowOff>
    </xdr:to>
    <xdr:pic>
      <xdr:nvPicPr>
        <xdr:cNvPr id="2" name="CommandButton2"/>
        <xdr:cNvPicPr preferRelativeResize="1">
          <a:picLocks noChangeAspect="1"/>
        </xdr:cNvPicPr>
      </xdr:nvPicPr>
      <xdr:blipFill>
        <a:blip r:embed="rId2"/>
        <a:stretch>
          <a:fillRect/>
        </a:stretch>
      </xdr:blipFill>
      <xdr:spPr>
        <a:xfrm>
          <a:off x="6276975" y="4086225"/>
          <a:ext cx="14287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8.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indexed="34"/>
  </sheetPr>
  <dimension ref="A1:V54"/>
  <sheetViews>
    <sheetView showGridLines="0" showRowColHeaders="0" tabSelected="1" zoomScalePageLayoutView="0" workbookViewId="0" topLeftCell="A1">
      <selection activeCell="J20" sqref="J20"/>
    </sheetView>
  </sheetViews>
  <sheetFormatPr defaultColWidth="9.140625" defaultRowHeight="12.75"/>
  <cols>
    <col min="1" max="1" width="4.00390625" style="63" customWidth="1"/>
    <col min="2" max="4" width="7.8515625" style="63" customWidth="1"/>
    <col min="5" max="5" width="12.00390625" style="63" customWidth="1"/>
    <col min="6" max="14" width="7.8515625" style="63" customWidth="1"/>
    <col min="15" max="16384" width="9.140625" style="63" customWidth="1"/>
  </cols>
  <sheetData>
    <row r="1" spans="1:22" ht="12.75">
      <c r="A1" s="62"/>
      <c r="B1" s="62"/>
      <c r="C1" s="62"/>
      <c r="D1" s="62"/>
      <c r="E1" s="62"/>
      <c r="F1" s="62"/>
      <c r="G1" s="62"/>
      <c r="H1" s="62"/>
      <c r="I1" s="62"/>
      <c r="J1" s="62"/>
      <c r="K1" s="62"/>
      <c r="L1" s="62"/>
      <c r="M1" s="62"/>
      <c r="N1" s="62"/>
      <c r="O1" s="62"/>
      <c r="P1" s="62"/>
      <c r="Q1" s="62"/>
      <c r="R1" s="62"/>
      <c r="S1" s="62"/>
      <c r="T1" s="62"/>
      <c r="U1" s="62"/>
      <c r="V1" s="62"/>
    </row>
    <row r="2" spans="1:22" ht="15.75">
      <c r="A2" s="62"/>
      <c r="B2" s="316" t="s">
        <v>948</v>
      </c>
      <c r="C2" s="317"/>
      <c r="D2" s="317"/>
      <c r="E2" s="317"/>
      <c r="F2" s="317"/>
      <c r="G2" s="317"/>
      <c r="H2" s="317"/>
      <c r="I2" s="317"/>
      <c r="J2" s="317"/>
      <c r="K2" s="317"/>
      <c r="L2" s="317"/>
      <c r="M2" s="62"/>
      <c r="N2" s="62"/>
      <c r="O2" s="62"/>
      <c r="P2" s="62"/>
      <c r="Q2" s="62"/>
      <c r="R2" s="62"/>
      <c r="S2" s="62"/>
      <c r="T2" s="62"/>
      <c r="U2" s="62"/>
      <c r="V2" s="62"/>
    </row>
    <row r="3" spans="1:22" ht="12.75">
      <c r="A3" s="62"/>
      <c r="B3" s="320" t="s">
        <v>954</v>
      </c>
      <c r="C3" s="321"/>
      <c r="D3" s="321"/>
      <c r="E3" s="322"/>
      <c r="F3" s="195"/>
      <c r="G3" s="195"/>
      <c r="H3" s="195"/>
      <c r="I3" s="195"/>
      <c r="J3" s="195"/>
      <c r="K3" s="62"/>
      <c r="L3" s="62"/>
      <c r="M3" s="62"/>
      <c r="N3" s="62"/>
      <c r="O3" s="62"/>
      <c r="P3" s="62"/>
      <c r="Q3" s="62"/>
      <c r="R3" s="62"/>
      <c r="S3" s="62"/>
      <c r="T3" s="62"/>
      <c r="U3" s="62"/>
      <c r="V3" s="62"/>
    </row>
    <row r="4" spans="1:22" ht="12.75">
      <c r="A4" s="62"/>
      <c r="B4" s="195"/>
      <c r="C4" s="195"/>
      <c r="D4" s="195"/>
      <c r="E4" s="195"/>
      <c r="F4" s="195"/>
      <c r="G4" s="195"/>
      <c r="H4" s="195"/>
      <c r="I4" s="195"/>
      <c r="J4" s="195"/>
      <c r="K4" s="62"/>
      <c r="L4" s="62"/>
      <c r="M4" s="62"/>
      <c r="N4" s="62"/>
      <c r="O4" s="62"/>
      <c r="P4" s="62"/>
      <c r="Q4" s="62"/>
      <c r="R4" s="62"/>
      <c r="S4" s="62"/>
      <c r="T4" s="62"/>
      <c r="U4" s="62"/>
      <c r="V4" s="62"/>
    </row>
    <row r="5" spans="1:22" ht="12.75">
      <c r="A5" s="62"/>
      <c r="B5" s="62" t="s">
        <v>384</v>
      </c>
      <c r="C5" s="195"/>
      <c r="D5" s="195"/>
      <c r="E5" s="195"/>
      <c r="F5" s="195"/>
      <c r="G5" s="195"/>
      <c r="H5" s="195"/>
      <c r="I5" s="195"/>
      <c r="J5" s="195"/>
      <c r="K5" s="62"/>
      <c r="L5" s="62"/>
      <c r="M5" s="62"/>
      <c r="N5" s="62"/>
      <c r="O5" s="62"/>
      <c r="P5" s="62"/>
      <c r="Q5" s="62"/>
      <c r="R5" s="62"/>
      <c r="S5" s="62"/>
      <c r="T5" s="62"/>
      <c r="U5" s="62"/>
      <c r="V5" s="62"/>
    </row>
    <row r="6" spans="1:22" ht="12.75">
      <c r="A6" s="62"/>
      <c r="B6" s="62"/>
      <c r="C6" s="195"/>
      <c r="D6" s="195"/>
      <c r="E6" s="195"/>
      <c r="F6" s="195"/>
      <c r="G6" s="195"/>
      <c r="H6" s="195"/>
      <c r="I6" s="195"/>
      <c r="J6" s="195"/>
      <c r="K6" s="62"/>
      <c r="L6" s="62"/>
      <c r="M6" s="62"/>
      <c r="N6" s="62"/>
      <c r="O6" s="62"/>
      <c r="P6" s="62"/>
      <c r="Q6" s="62"/>
      <c r="R6" s="62"/>
      <c r="S6" s="62"/>
      <c r="T6" s="62"/>
      <c r="U6" s="62"/>
      <c r="V6" s="62"/>
    </row>
    <row r="7" spans="1:22" ht="12.75">
      <c r="A7" s="62"/>
      <c r="B7" s="62" t="s">
        <v>385</v>
      </c>
      <c r="C7" s="195"/>
      <c r="D7" s="195"/>
      <c r="E7" s="195"/>
      <c r="F7" s="195"/>
      <c r="G7" s="195"/>
      <c r="H7" s="195"/>
      <c r="I7" s="195"/>
      <c r="J7" s="195"/>
      <c r="K7" s="62"/>
      <c r="L7" s="62"/>
      <c r="M7" s="62"/>
      <c r="N7" s="62"/>
      <c r="O7" s="62"/>
      <c r="P7" s="62"/>
      <c r="Q7" s="62"/>
      <c r="R7" s="62"/>
      <c r="S7" s="62"/>
      <c r="T7" s="62"/>
      <c r="U7" s="62"/>
      <c r="V7" s="62"/>
    </row>
    <row r="8" spans="1:22" ht="12.75">
      <c r="A8" s="62"/>
      <c r="B8" s="62" t="s">
        <v>386</v>
      </c>
      <c r="C8" s="195"/>
      <c r="D8" s="195"/>
      <c r="E8" s="195"/>
      <c r="F8" s="195"/>
      <c r="G8" s="195"/>
      <c r="H8" s="195"/>
      <c r="I8" s="195"/>
      <c r="J8" s="195"/>
      <c r="K8" s="62"/>
      <c r="L8" s="62"/>
      <c r="M8" s="62"/>
      <c r="N8" s="62"/>
      <c r="O8" s="62"/>
      <c r="P8" s="62"/>
      <c r="Q8" s="62"/>
      <c r="R8" s="62"/>
      <c r="S8" s="62"/>
      <c r="T8" s="62"/>
      <c r="U8" s="62"/>
      <c r="V8" s="62"/>
    </row>
    <row r="9" spans="1:22" ht="12.75">
      <c r="A9" s="62"/>
      <c r="B9" s="203" t="s">
        <v>388</v>
      </c>
      <c r="C9" s="195"/>
      <c r="D9" s="195"/>
      <c r="E9" s="195"/>
      <c r="F9" s="195"/>
      <c r="G9" s="195"/>
      <c r="H9" s="195"/>
      <c r="I9" s="198"/>
      <c r="J9" s="195"/>
      <c r="K9" s="62"/>
      <c r="L9" s="62"/>
      <c r="M9" s="62"/>
      <c r="N9" s="62"/>
      <c r="O9" s="62"/>
      <c r="P9" s="62"/>
      <c r="Q9" s="62"/>
      <c r="R9" s="62"/>
      <c r="S9" s="62"/>
      <c r="T9" s="62"/>
      <c r="U9" s="62"/>
      <c r="V9" s="62"/>
    </row>
    <row r="10" spans="1:22" ht="12.75">
      <c r="A10" s="62"/>
      <c r="B10" s="204" t="s">
        <v>389</v>
      </c>
      <c r="C10" s="195"/>
      <c r="D10" s="195"/>
      <c r="E10" s="195"/>
      <c r="F10" s="195"/>
      <c r="G10" s="195"/>
      <c r="H10" s="195"/>
      <c r="I10" s="199"/>
      <c r="J10" s="195"/>
      <c r="K10" s="62"/>
      <c r="L10" s="62"/>
      <c r="M10" s="62"/>
      <c r="N10" s="62"/>
      <c r="O10" s="62"/>
      <c r="P10" s="62"/>
      <c r="Q10" s="62"/>
      <c r="R10" s="62"/>
      <c r="S10" s="62"/>
      <c r="T10" s="62"/>
      <c r="U10" s="62"/>
      <c r="V10" s="62"/>
    </row>
    <row r="11" spans="1:22" ht="12.75">
      <c r="A11" s="62"/>
      <c r="B11" s="62"/>
      <c r="C11" s="195"/>
      <c r="D11" s="195"/>
      <c r="E11" s="195"/>
      <c r="F11" s="195"/>
      <c r="G11" s="195"/>
      <c r="H11" s="195"/>
      <c r="I11" s="195"/>
      <c r="J11" s="195"/>
      <c r="K11" s="62"/>
      <c r="L11" s="62"/>
      <c r="M11" s="62"/>
      <c r="N11" s="62"/>
      <c r="O11" s="62"/>
      <c r="P11" s="62"/>
      <c r="Q11" s="62"/>
      <c r="R11" s="62"/>
      <c r="S11" s="62"/>
      <c r="T11" s="62"/>
      <c r="U11" s="62"/>
      <c r="V11" s="62"/>
    </row>
    <row r="12" spans="1:22" ht="12.75">
      <c r="A12" s="62"/>
      <c r="B12" s="62"/>
      <c r="C12" s="195"/>
      <c r="D12" s="195"/>
      <c r="E12" s="195"/>
      <c r="F12" s="195"/>
      <c r="G12" s="195"/>
      <c r="H12" s="195"/>
      <c r="I12" s="195"/>
      <c r="J12" s="195"/>
      <c r="K12" s="62"/>
      <c r="L12" s="62"/>
      <c r="M12" s="62"/>
      <c r="N12" s="62"/>
      <c r="O12" s="62"/>
      <c r="P12" s="62"/>
      <c r="Q12" s="62"/>
      <c r="R12" s="62"/>
      <c r="S12" s="62"/>
      <c r="T12" s="62"/>
      <c r="U12" s="62"/>
      <c r="V12" s="62"/>
    </row>
    <row r="13" spans="1:22" ht="12.75">
      <c r="A13" s="62"/>
      <c r="B13" s="202" t="s">
        <v>387</v>
      </c>
      <c r="C13" s="195"/>
      <c r="D13" s="195"/>
      <c r="E13" s="195"/>
      <c r="F13" s="195"/>
      <c r="G13" s="195"/>
      <c r="H13" s="195"/>
      <c r="I13" s="195"/>
      <c r="J13" s="195"/>
      <c r="K13" s="62"/>
      <c r="L13" s="62"/>
      <c r="M13" s="62"/>
      <c r="N13" s="62"/>
      <c r="O13" s="62"/>
      <c r="P13" s="62"/>
      <c r="Q13" s="62"/>
      <c r="R13" s="62"/>
      <c r="S13" s="62"/>
      <c r="T13" s="62"/>
      <c r="U13" s="62"/>
      <c r="V13" s="62"/>
    </row>
    <row r="14" spans="1:22" ht="12.75">
      <c r="A14" s="62"/>
      <c r="B14" s="202" t="s">
        <v>949</v>
      </c>
      <c r="C14" s="195"/>
      <c r="D14" s="195"/>
      <c r="E14" s="195"/>
      <c r="F14" s="195"/>
      <c r="G14" s="195"/>
      <c r="H14" s="195"/>
      <c r="I14" s="198"/>
      <c r="J14" s="195"/>
      <c r="K14" s="62"/>
      <c r="L14" s="62"/>
      <c r="M14" s="62"/>
      <c r="N14" s="62"/>
      <c r="O14" s="62"/>
      <c r="P14" s="62"/>
      <c r="Q14" s="62"/>
      <c r="R14" s="62"/>
      <c r="S14" s="62"/>
      <c r="T14" s="62"/>
      <c r="U14" s="62"/>
      <c r="V14" s="62"/>
    </row>
    <row r="15" spans="1:22" ht="12.75">
      <c r="A15" s="62"/>
      <c r="B15" s="312" t="s">
        <v>952</v>
      </c>
      <c r="C15" s="195"/>
      <c r="D15" s="195"/>
      <c r="E15" s="195"/>
      <c r="F15" s="195"/>
      <c r="G15" s="195"/>
      <c r="H15" s="195"/>
      <c r="I15" s="198"/>
      <c r="J15" s="195"/>
      <c r="K15" s="62"/>
      <c r="L15" s="62"/>
      <c r="M15" s="62"/>
      <c r="N15" s="62"/>
      <c r="O15" s="62"/>
      <c r="P15" s="62"/>
      <c r="Q15" s="62"/>
      <c r="R15" s="62"/>
      <c r="S15" s="62"/>
      <c r="T15" s="62"/>
      <c r="U15" s="62"/>
      <c r="V15" s="62"/>
    </row>
    <row r="16" spans="1:22" ht="12.75">
      <c r="A16" s="62"/>
      <c r="B16" s="313" t="s">
        <v>950</v>
      </c>
      <c r="C16" s="195"/>
      <c r="D16" s="195"/>
      <c r="E16" s="195"/>
      <c r="F16" s="195"/>
      <c r="G16" s="195"/>
      <c r="H16" s="195"/>
      <c r="I16" s="198"/>
      <c r="J16" s="195"/>
      <c r="K16" s="62"/>
      <c r="L16" s="62"/>
      <c r="M16" s="62"/>
      <c r="N16" s="62"/>
      <c r="O16" s="62"/>
      <c r="P16" s="62"/>
      <c r="Q16" s="62"/>
      <c r="R16" s="62"/>
      <c r="S16" s="62"/>
      <c r="T16" s="62"/>
      <c r="U16" s="62"/>
      <c r="V16" s="62"/>
    </row>
    <row r="17" spans="1:22" ht="12.75">
      <c r="A17" s="62"/>
      <c r="B17" s="313" t="s">
        <v>951</v>
      </c>
      <c r="C17" s="195"/>
      <c r="D17" s="195"/>
      <c r="E17" s="195"/>
      <c r="F17" s="195"/>
      <c r="G17" s="195"/>
      <c r="H17" s="195"/>
      <c r="I17" s="198"/>
      <c r="J17" s="195"/>
      <c r="K17" s="62"/>
      <c r="L17" s="62"/>
      <c r="M17" s="62"/>
      <c r="N17" s="62"/>
      <c r="O17" s="62"/>
      <c r="P17" s="62"/>
      <c r="Q17" s="62"/>
      <c r="R17" s="62"/>
      <c r="S17" s="62"/>
      <c r="T17" s="62"/>
      <c r="U17" s="62"/>
      <c r="V17" s="62"/>
    </row>
    <row r="18" spans="1:22" ht="12.75">
      <c r="A18" s="62"/>
      <c r="B18" s="313" t="s">
        <v>953</v>
      </c>
      <c r="C18" s="195"/>
      <c r="D18" s="195"/>
      <c r="E18" s="195"/>
      <c r="F18" s="195"/>
      <c r="G18" s="195"/>
      <c r="H18" s="195"/>
      <c r="I18" s="198"/>
      <c r="J18" s="195"/>
      <c r="K18" s="62"/>
      <c r="L18" s="62"/>
      <c r="M18" s="62"/>
      <c r="N18" s="62"/>
      <c r="O18" s="62"/>
      <c r="P18" s="62"/>
      <c r="Q18" s="62"/>
      <c r="R18" s="62"/>
      <c r="S18" s="62"/>
      <c r="T18" s="62"/>
      <c r="U18" s="62"/>
      <c r="V18" s="62"/>
    </row>
    <row r="19" spans="1:22" ht="15.75">
      <c r="A19" s="62"/>
      <c r="B19" s="195"/>
      <c r="C19" s="195"/>
      <c r="D19" s="195"/>
      <c r="E19" s="195"/>
      <c r="F19" s="195"/>
      <c r="G19" s="196"/>
      <c r="H19" s="196"/>
      <c r="I19" s="195"/>
      <c r="J19" s="195"/>
      <c r="K19" s="62"/>
      <c r="L19" s="62"/>
      <c r="M19" s="62"/>
      <c r="N19" s="62"/>
      <c r="O19" s="62"/>
      <c r="P19" s="62"/>
      <c r="Q19" s="62"/>
      <c r="R19" s="62"/>
      <c r="S19" s="62"/>
      <c r="T19" s="62"/>
      <c r="U19" s="62"/>
      <c r="V19" s="62"/>
    </row>
    <row r="20" spans="1:22" ht="12.75">
      <c r="A20" s="62"/>
      <c r="B20" s="80" t="s">
        <v>262</v>
      </c>
      <c r="C20" s="195"/>
      <c r="D20" s="195"/>
      <c r="E20" s="195"/>
      <c r="F20" s="195"/>
      <c r="G20" s="195"/>
      <c r="H20" s="195"/>
      <c r="I20" s="200"/>
      <c r="J20" s="259"/>
      <c r="K20" s="62"/>
      <c r="L20" s="62"/>
      <c r="M20" s="62"/>
      <c r="N20" s="62"/>
      <c r="O20" s="62"/>
      <c r="P20" s="62"/>
      <c r="Q20" s="62"/>
      <c r="R20" s="62"/>
      <c r="S20" s="62"/>
      <c r="T20" s="62"/>
      <c r="U20" s="62"/>
      <c r="V20" s="62"/>
    </row>
    <row r="21" spans="1:22" ht="12.75">
      <c r="A21" s="62"/>
      <c r="B21" s="195"/>
      <c r="C21" s="195"/>
      <c r="D21" s="195"/>
      <c r="E21" s="195"/>
      <c r="F21" s="195"/>
      <c r="G21" s="195"/>
      <c r="H21" s="195"/>
      <c r="I21" s="195"/>
      <c r="J21" s="195"/>
      <c r="K21" s="62"/>
      <c r="L21" s="62"/>
      <c r="M21" s="62"/>
      <c r="N21" s="62"/>
      <c r="O21" s="62"/>
      <c r="P21" s="62"/>
      <c r="Q21" s="62"/>
      <c r="R21" s="62"/>
      <c r="S21" s="62"/>
      <c r="T21" s="62"/>
      <c r="U21" s="62"/>
      <c r="V21" s="62"/>
    </row>
    <row r="22" spans="1:22" ht="12.75">
      <c r="A22" s="62"/>
      <c r="B22" s="195"/>
      <c r="C22" s="195"/>
      <c r="D22" s="195"/>
      <c r="E22" s="195"/>
      <c r="F22" s="195"/>
      <c r="G22" s="195"/>
      <c r="H22" s="195"/>
      <c r="I22" s="195"/>
      <c r="J22" s="195"/>
      <c r="K22" s="62"/>
      <c r="L22" s="62"/>
      <c r="M22" s="62"/>
      <c r="N22" s="62"/>
      <c r="O22" s="62"/>
      <c r="P22" s="62"/>
      <c r="Q22" s="62"/>
      <c r="R22" s="62"/>
      <c r="S22" s="62"/>
      <c r="T22" s="62"/>
      <c r="U22" s="62"/>
      <c r="V22" s="62"/>
    </row>
    <row r="23" spans="1:22" ht="12.75">
      <c r="A23" s="62"/>
      <c r="B23" s="195"/>
      <c r="C23" s="195"/>
      <c r="D23" s="195"/>
      <c r="E23" s="195"/>
      <c r="F23" s="195"/>
      <c r="G23" s="197"/>
      <c r="H23" s="197"/>
      <c r="I23" s="198"/>
      <c r="J23" s="195"/>
      <c r="K23" s="62"/>
      <c r="L23" s="62"/>
      <c r="M23" s="62"/>
      <c r="N23" s="62"/>
      <c r="O23" s="62"/>
      <c r="P23" s="62"/>
      <c r="Q23" s="62"/>
      <c r="R23" s="62"/>
      <c r="S23" s="62"/>
      <c r="T23" s="62"/>
      <c r="U23" s="62"/>
      <c r="V23" s="62"/>
    </row>
    <row r="24" spans="1:22" ht="15.75">
      <c r="A24" s="62"/>
      <c r="B24" s="182" t="s">
        <v>112</v>
      </c>
      <c r="C24" s="195"/>
      <c r="D24" s="195"/>
      <c r="E24" s="195"/>
      <c r="F24" s="195"/>
      <c r="G24" s="195"/>
      <c r="H24" s="195"/>
      <c r="I24" s="195"/>
      <c r="J24" s="195"/>
      <c r="K24" s="62"/>
      <c r="L24" s="62"/>
      <c r="M24" s="62"/>
      <c r="N24" s="62"/>
      <c r="O24" s="62"/>
      <c r="P24" s="62"/>
      <c r="Q24" s="62"/>
      <c r="R24" s="62"/>
      <c r="S24" s="62"/>
      <c r="T24" s="62"/>
      <c r="U24" s="62"/>
      <c r="V24" s="62"/>
    </row>
    <row r="25" spans="1:22" ht="12.75">
      <c r="A25" s="62"/>
      <c r="B25" s="195"/>
      <c r="C25" s="195"/>
      <c r="D25" s="195"/>
      <c r="E25" s="195"/>
      <c r="F25" s="195"/>
      <c r="G25" s="195"/>
      <c r="H25" s="195"/>
      <c r="I25" s="195"/>
      <c r="J25" s="195"/>
      <c r="K25" s="62"/>
      <c r="L25" s="62"/>
      <c r="M25" s="62"/>
      <c r="N25" s="62"/>
      <c r="O25" s="62"/>
      <c r="P25" s="62"/>
      <c r="Q25" s="62"/>
      <c r="R25" s="62"/>
      <c r="S25" s="62"/>
      <c r="T25" s="62"/>
      <c r="U25" s="62"/>
      <c r="V25" s="62"/>
    </row>
    <row r="26" spans="1:22" ht="12.75">
      <c r="A26" s="62"/>
      <c r="B26" s="204" t="s">
        <v>618</v>
      </c>
      <c r="C26" s="195"/>
      <c r="D26" s="318" t="s">
        <v>619</v>
      </c>
      <c r="E26" s="319"/>
      <c r="F26" s="203" t="s">
        <v>620</v>
      </c>
      <c r="G26" s="195"/>
      <c r="H26" s="195"/>
      <c r="I26" s="195"/>
      <c r="J26" s="195"/>
      <c r="K26" s="62"/>
      <c r="L26" s="62"/>
      <c r="M26" s="62"/>
      <c r="N26" s="62"/>
      <c r="O26" s="62"/>
      <c r="P26" s="62"/>
      <c r="Q26" s="62"/>
      <c r="R26" s="62"/>
      <c r="S26" s="62"/>
      <c r="T26" s="62"/>
      <c r="U26" s="62"/>
      <c r="V26" s="62"/>
    </row>
    <row r="27" spans="1:22" ht="12.75">
      <c r="A27" s="62"/>
      <c r="B27" s="201"/>
      <c r="C27" s="252"/>
      <c r="D27" s="201"/>
      <c r="E27" s="1"/>
      <c r="F27" s="201"/>
      <c r="G27" s="201"/>
      <c r="H27" s="195"/>
      <c r="I27" s="195"/>
      <c r="J27" s="195"/>
      <c r="K27" s="62"/>
      <c r="L27" s="62"/>
      <c r="M27" s="62"/>
      <c r="N27" s="62"/>
      <c r="O27" s="62"/>
      <c r="P27" s="62"/>
      <c r="Q27" s="62"/>
      <c r="R27" s="62"/>
      <c r="S27" s="62"/>
      <c r="T27" s="62"/>
      <c r="U27" s="62"/>
      <c r="V27" s="62"/>
    </row>
    <row r="28" spans="1:22" ht="12.75">
      <c r="A28" s="62"/>
      <c r="B28" s="204" t="s">
        <v>618</v>
      </c>
      <c r="C28" s="195"/>
      <c r="D28" s="318" t="s">
        <v>621</v>
      </c>
      <c r="E28" s="319"/>
      <c r="F28" s="295" t="s">
        <v>562</v>
      </c>
      <c r="G28" s="195"/>
      <c r="H28" s="62"/>
      <c r="I28" s="195"/>
      <c r="J28" s="195"/>
      <c r="K28" s="62"/>
      <c r="L28" s="62"/>
      <c r="M28" s="62"/>
      <c r="N28" s="62"/>
      <c r="O28" s="62"/>
      <c r="P28" s="62"/>
      <c r="Q28" s="62"/>
      <c r="R28" s="62"/>
      <c r="S28" s="62"/>
      <c r="T28" s="62"/>
      <c r="U28" s="62"/>
      <c r="V28" s="62"/>
    </row>
    <row r="29" spans="1:22" ht="12.75">
      <c r="A29" s="62"/>
      <c r="B29" s="195"/>
      <c r="C29" s="195"/>
      <c r="D29" s="195"/>
      <c r="E29" s="62"/>
      <c r="F29" s="195"/>
      <c r="G29" s="195"/>
      <c r="H29" s="62"/>
      <c r="I29" s="195"/>
      <c r="J29" s="195"/>
      <c r="K29" s="62"/>
      <c r="L29" s="62"/>
      <c r="M29" s="62"/>
      <c r="N29" s="62"/>
      <c r="O29" s="62"/>
      <c r="P29" s="62"/>
      <c r="Q29" s="62"/>
      <c r="R29" s="62"/>
      <c r="S29" s="62"/>
      <c r="T29" s="62"/>
      <c r="U29" s="62"/>
      <c r="V29" s="62"/>
    </row>
    <row r="30" spans="1:22" ht="12.75">
      <c r="A30" s="62"/>
      <c r="B30" s="197"/>
      <c r="C30" s="195"/>
      <c r="D30" s="195"/>
      <c r="E30" s="1"/>
      <c r="F30" s="195"/>
      <c r="G30" s="195"/>
      <c r="H30" s="62"/>
      <c r="I30" s="198"/>
      <c r="J30" s="195"/>
      <c r="K30" s="62"/>
      <c r="L30" s="62"/>
      <c r="M30" s="62"/>
      <c r="N30" s="62"/>
      <c r="O30" s="62"/>
      <c r="P30" s="62"/>
      <c r="Q30" s="62"/>
      <c r="R30" s="62"/>
      <c r="S30" s="62"/>
      <c r="T30" s="62"/>
      <c r="U30" s="62"/>
      <c r="V30" s="62"/>
    </row>
    <row r="31" spans="1:22" ht="12.75">
      <c r="A31" s="62"/>
      <c r="B31" s="197"/>
      <c r="C31" s="195"/>
      <c r="D31" s="195"/>
      <c r="E31" s="1"/>
      <c r="F31" s="195"/>
      <c r="G31" s="195"/>
      <c r="H31" s="195"/>
      <c r="I31" s="195"/>
      <c r="J31" s="195"/>
      <c r="K31" s="62"/>
      <c r="L31" s="62"/>
      <c r="M31" s="62"/>
      <c r="N31" s="62"/>
      <c r="O31" s="62"/>
      <c r="P31" s="62"/>
      <c r="Q31" s="62"/>
      <c r="R31" s="62"/>
      <c r="S31" s="62"/>
      <c r="T31" s="62"/>
      <c r="U31" s="62"/>
      <c r="V31" s="62"/>
    </row>
    <row r="32" spans="1:22" ht="12.75">
      <c r="A32" s="62"/>
      <c r="B32" s="195"/>
      <c r="C32" s="195"/>
      <c r="D32" s="195"/>
      <c r="E32" s="1"/>
      <c r="F32" s="195"/>
      <c r="G32" s="195"/>
      <c r="H32" s="195"/>
      <c r="I32" s="197"/>
      <c r="J32" s="195"/>
      <c r="K32" s="62"/>
      <c r="L32" s="62"/>
      <c r="M32" s="62"/>
      <c r="N32" s="62"/>
      <c r="O32" s="62"/>
      <c r="P32" s="62"/>
      <c r="Q32" s="62"/>
      <c r="R32" s="62"/>
      <c r="S32" s="62"/>
      <c r="T32" s="62"/>
      <c r="U32" s="62"/>
      <c r="V32" s="62"/>
    </row>
    <row r="33" spans="1:22" ht="12.75">
      <c r="A33" s="62"/>
      <c r="B33" s="195"/>
      <c r="C33" s="195"/>
      <c r="D33" s="195"/>
      <c r="E33" s="195"/>
      <c r="F33" s="195"/>
      <c r="G33" s="195"/>
      <c r="H33" s="195"/>
      <c r="I33" s="197"/>
      <c r="J33" s="195"/>
      <c r="K33" s="62"/>
      <c r="L33" s="62"/>
      <c r="M33" s="62"/>
      <c r="N33" s="62"/>
      <c r="O33" s="62"/>
      <c r="P33" s="62"/>
      <c r="Q33" s="62"/>
      <c r="R33" s="62"/>
      <c r="S33" s="62"/>
      <c r="T33" s="62"/>
      <c r="U33" s="62"/>
      <c r="V33" s="62"/>
    </row>
    <row r="34" spans="1:22" ht="12.75">
      <c r="A34" s="62"/>
      <c r="B34" s="195"/>
      <c r="C34" s="195"/>
      <c r="D34" s="195"/>
      <c r="E34" s="195"/>
      <c r="F34" s="195"/>
      <c r="G34" s="195"/>
      <c r="H34" s="195"/>
      <c r="I34" s="195"/>
      <c r="J34" s="195"/>
      <c r="K34" s="62"/>
      <c r="L34" s="62"/>
      <c r="M34" s="62"/>
      <c r="N34" s="62"/>
      <c r="O34" s="62"/>
      <c r="P34" s="62"/>
      <c r="Q34" s="62"/>
      <c r="R34" s="62"/>
      <c r="S34" s="62"/>
      <c r="T34" s="62"/>
      <c r="U34" s="62"/>
      <c r="V34" s="62"/>
    </row>
    <row r="35" spans="1:22" ht="12.75">
      <c r="A35" s="62"/>
      <c r="B35" s="195"/>
      <c r="C35" s="195"/>
      <c r="D35" s="195"/>
      <c r="E35" s="195"/>
      <c r="F35" s="195"/>
      <c r="G35" s="195"/>
      <c r="H35" s="195"/>
      <c r="I35" s="195"/>
      <c r="J35" s="195"/>
      <c r="K35" s="62"/>
      <c r="L35" s="62"/>
      <c r="M35" s="62"/>
      <c r="N35" s="62"/>
      <c r="O35" s="62"/>
      <c r="P35" s="62"/>
      <c r="Q35" s="62"/>
      <c r="R35" s="62"/>
      <c r="S35" s="62"/>
      <c r="T35" s="62"/>
      <c r="U35" s="62"/>
      <c r="V35" s="62"/>
    </row>
    <row r="36" spans="1:22" ht="12.75">
      <c r="A36" s="62"/>
      <c r="B36" s="62"/>
      <c r="C36" s="66"/>
      <c r="D36" s="66"/>
      <c r="E36" s="66"/>
      <c r="F36" s="66"/>
      <c r="G36" s="66"/>
      <c r="H36" s="66"/>
      <c r="I36" s="62"/>
      <c r="J36" s="62"/>
      <c r="K36" s="62"/>
      <c r="L36" s="62"/>
      <c r="M36" s="62"/>
      <c r="N36" s="62"/>
      <c r="O36" s="62"/>
      <c r="P36" s="62"/>
      <c r="Q36" s="62"/>
      <c r="R36" s="62"/>
      <c r="S36" s="62"/>
      <c r="T36" s="62"/>
      <c r="U36" s="62"/>
      <c r="V36" s="62"/>
    </row>
    <row r="37" spans="1:22" s="90" customFormat="1" ht="12.75">
      <c r="A37" s="62"/>
      <c r="B37" s="62"/>
      <c r="C37" s="62"/>
      <c r="D37" s="62"/>
      <c r="E37" s="62"/>
      <c r="F37" s="62"/>
      <c r="G37" s="62"/>
      <c r="H37" s="62"/>
      <c r="I37" s="62"/>
      <c r="J37" s="62"/>
      <c r="K37" s="62"/>
      <c r="L37" s="62"/>
      <c r="M37" s="62"/>
      <c r="N37" s="62"/>
      <c r="O37" s="62"/>
      <c r="P37" s="62"/>
      <c r="Q37" s="62"/>
      <c r="R37" s="62"/>
      <c r="S37" s="62"/>
      <c r="T37" s="62"/>
      <c r="U37" s="62"/>
      <c r="V37" s="62"/>
    </row>
    <row r="38" spans="1:22" s="90" customFormat="1" ht="12.75">
      <c r="A38" s="62"/>
      <c r="B38" s="62"/>
      <c r="C38" s="62"/>
      <c r="D38" s="62"/>
      <c r="E38" s="62"/>
      <c r="F38" s="62"/>
      <c r="G38" s="62"/>
      <c r="H38" s="62"/>
      <c r="I38" s="62"/>
      <c r="J38" s="62"/>
      <c r="K38" s="62"/>
      <c r="L38" s="62"/>
      <c r="M38" s="62"/>
      <c r="N38" s="62"/>
      <c r="O38" s="62"/>
      <c r="P38" s="62"/>
      <c r="Q38" s="62"/>
      <c r="R38" s="62"/>
      <c r="S38" s="62"/>
      <c r="T38" s="62"/>
      <c r="U38" s="62"/>
      <c r="V38" s="62"/>
    </row>
    <row r="39" spans="1:22" s="90" customFormat="1" ht="12.75">
      <c r="A39" s="62"/>
      <c r="B39" s="62"/>
      <c r="C39" s="62"/>
      <c r="D39" s="62"/>
      <c r="E39" s="62"/>
      <c r="F39" s="62"/>
      <c r="G39" s="62"/>
      <c r="H39" s="62"/>
      <c r="I39" s="62"/>
      <c r="J39" s="62"/>
      <c r="K39" s="62"/>
      <c r="L39" s="62"/>
      <c r="M39" s="62"/>
      <c r="N39" s="62"/>
      <c r="O39" s="62"/>
      <c r="P39" s="62"/>
      <c r="Q39" s="62"/>
      <c r="R39" s="62"/>
      <c r="S39" s="62"/>
      <c r="T39" s="62"/>
      <c r="U39" s="62"/>
      <c r="V39" s="62"/>
    </row>
    <row r="40" spans="1:22" s="90" customFormat="1" ht="12.75">
      <c r="A40" s="62"/>
      <c r="B40" s="62"/>
      <c r="C40" s="62"/>
      <c r="D40" s="62"/>
      <c r="E40" s="62"/>
      <c r="F40" s="62"/>
      <c r="G40" s="62"/>
      <c r="H40" s="62"/>
      <c r="I40" s="62"/>
      <c r="J40" s="62"/>
      <c r="K40" s="62"/>
      <c r="L40" s="62"/>
      <c r="M40" s="62"/>
      <c r="N40" s="62"/>
      <c r="O40" s="62"/>
      <c r="P40" s="62"/>
      <c r="Q40" s="62"/>
      <c r="R40" s="62"/>
      <c r="S40" s="62"/>
      <c r="T40" s="62"/>
      <c r="U40" s="62"/>
      <c r="V40" s="62"/>
    </row>
    <row r="41" spans="1:22" s="90" customFormat="1" ht="12.75">
      <c r="A41" s="62"/>
      <c r="B41" s="62"/>
      <c r="C41" s="62"/>
      <c r="D41" s="62"/>
      <c r="E41" s="62"/>
      <c r="F41" s="62"/>
      <c r="G41" s="62"/>
      <c r="H41" s="62"/>
      <c r="I41" s="62"/>
      <c r="J41" s="62"/>
      <c r="K41" s="62"/>
      <c r="L41" s="62"/>
      <c r="M41" s="62"/>
      <c r="N41" s="62"/>
      <c r="O41" s="62"/>
      <c r="P41" s="62"/>
      <c r="Q41" s="62"/>
      <c r="R41" s="62"/>
      <c r="S41" s="62"/>
      <c r="T41" s="62"/>
      <c r="U41" s="62"/>
      <c r="V41" s="62"/>
    </row>
    <row r="42" spans="1:22" s="90" customFormat="1" ht="12.75">
      <c r="A42" s="62"/>
      <c r="B42" s="62"/>
      <c r="C42" s="62"/>
      <c r="D42" s="62"/>
      <c r="E42" s="62"/>
      <c r="F42" s="62"/>
      <c r="G42" s="62"/>
      <c r="H42" s="62"/>
      <c r="I42" s="62"/>
      <c r="J42" s="62"/>
      <c r="K42" s="62"/>
      <c r="L42" s="62"/>
      <c r="M42" s="62"/>
      <c r="N42" s="62"/>
      <c r="O42" s="62"/>
      <c r="P42" s="62"/>
      <c r="Q42" s="62"/>
      <c r="R42" s="62"/>
      <c r="S42" s="62"/>
      <c r="T42" s="62"/>
      <c r="U42" s="62"/>
      <c r="V42" s="62"/>
    </row>
    <row r="43" spans="1:22" ht="12.75">
      <c r="A43" s="62"/>
      <c r="B43" s="62"/>
      <c r="C43" s="62"/>
      <c r="D43" s="62"/>
      <c r="E43" s="62"/>
      <c r="F43" s="62"/>
      <c r="G43" s="62"/>
      <c r="H43" s="62"/>
      <c r="I43" s="62"/>
      <c r="J43" s="62"/>
      <c r="K43" s="62"/>
      <c r="L43" s="62"/>
      <c r="M43" s="62"/>
      <c r="N43" s="62"/>
      <c r="O43" s="62"/>
      <c r="P43" s="62"/>
      <c r="Q43" s="62"/>
      <c r="R43" s="62"/>
      <c r="S43" s="62"/>
      <c r="T43" s="62"/>
      <c r="U43" s="62"/>
      <c r="V43" s="62"/>
    </row>
    <row r="44" spans="1:22" ht="12.75">
      <c r="A44" s="62"/>
      <c r="B44" s="62"/>
      <c r="C44" s="62"/>
      <c r="D44" s="62"/>
      <c r="E44" s="62"/>
      <c r="F44" s="62"/>
      <c r="G44" s="62"/>
      <c r="H44" s="62"/>
      <c r="I44" s="62"/>
      <c r="J44" s="62"/>
      <c r="K44" s="62"/>
      <c r="L44" s="62"/>
      <c r="M44" s="62"/>
      <c r="N44" s="62"/>
      <c r="O44" s="62"/>
      <c r="P44" s="62"/>
      <c r="Q44" s="62"/>
      <c r="R44" s="62"/>
      <c r="S44" s="62"/>
      <c r="T44" s="62"/>
      <c r="U44" s="62"/>
      <c r="V44" s="62"/>
    </row>
    <row r="45" spans="1:22" ht="12.75">
      <c r="A45" s="62"/>
      <c r="B45" s="62"/>
      <c r="C45" s="62"/>
      <c r="D45" s="62"/>
      <c r="E45" s="62"/>
      <c r="F45" s="62"/>
      <c r="G45" s="62"/>
      <c r="H45" s="62"/>
      <c r="I45" s="62"/>
      <c r="J45" s="62"/>
      <c r="K45" s="62"/>
      <c r="L45" s="62"/>
      <c r="M45" s="62"/>
      <c r="N45" s="62"/>
      <c r="O45" s="62"/>
      <c r="P45" s="62"/>
      <c r="Q45" s="62"/>
      <c r="R45" s="62"/>
      <c r="S45" s="62"/>
      <c r="T45" s="62"/>
      <c r="U45" s="62"/>
      <c r="V45" s="62"/>
    </row>
    <row r="46" spans="1:22" ht="12.75">
      <c r="A46" s="62"/>
      <c r="B46" s="62"/>
      <c r="C46" s="62"/>
      <c r="D46" s="62"/>
      <c r="E46" s="62"/>
      <c r="F46" s="62"/>
      <c r="G46" s="62"/>
      <c r="H46" s="62"/>
      <c r="I46" s="62"/>
      <c r="J46" s="62"/>
      <c r="K46" s="62"/>
      <c r="L46" s="62"/>
      <c r="M46" s="62"/>
      <c r="N46" s="62"/>
      <c r="O46" s="62"/>
      <c r="P46" s="62"/>
      <c r="Q46" s="62"/>
      <c r="R46" s="62"/>
      <c r="S46" s="62"/>
      <c r="T46" s="62"/>
      <c r="U46" s="62"/>
      <c r="V46" s="62"/>
    </row>
    <row r="47" spans="1:22" ht="12.75">
      <c r="A47" s="62"/>
      <c r="B47" s="62"/>
      <c r="C47" s="62"/>
      <c r="D47" s="62"/>
      <c r="E47" s="62"/>
      <c r="F47" s="62"/>
      <c r="G47" s="62"/>
      <c r="H47" s="62"/>
      <c r="I47" s="62"/>
      <c r="J47" s="62"/>
      <c r="K47" s="62"/>
      <c r="L47" s="62"/>
      <c r="M47" s="62"/>
      <c r="N47" s="62"/>
      <c r="O47" s="62"/>
      <c r="P47" s="62"/>
      <c r="Q47" s="62"/>
      <c r="R47" s="62"/>
      <c r="S47" s="62"/>
      <c r="T47" s="62"/>
      <c r="U47" s="62"/>
      <c r="V47" s="62"/>
    </row>
    <row r="48" spans="1:22" ht="12.75">
      <c r="A48" s="62"/>
      <c r="B48" s="62"/>
      <c r="C48" s="62"/>
      <c r="D48" s="62"/>
      <c r="E48" s="62"/>
      <c r="F48" s="62"/>
      <c r="G48" s="62"/>
      <c r="H48" s="62"/>
      <c r="I48" s="62"/>
      <c r="J48" s="62"/>
      <c r="K48" s="62"/>
      <c r="L48" s="62"/>
      <c r="M48" s="62"/>
      <c r="N48" s="62"/>
      <c r="O48" s="62"/>
      <c r="P48" s="62"/>
      <c r="Q48" s="62"/>
      <c r="R48" s="62"/>
      <c r="S48" s="62"/>
      <c r="T48" s="62"/>
      <c r="U48" s="62"/>
      <c r="V48" s="62"/>
    </row>
    <row r="49" spans="1:22" ht="12.75">
      <c r="A49" s="62"/>
      <c r="B49" s="62"/>
      <c r="C49" s="62"/>
      <c r="D49" s="62"/>
      <c r="E49" s="62"/>
      <c r="F49" s="62"/>
      <c r="G49" s="62"/>
      <c r="H49" s="62"/>
      <c r="I49" s="62"/>
      <c r="J49" s="62"/>
      <c r="K49" s="62"/>
      <c r="L49" s="62"/>
      <c r="M49" s="62"/>
      <c r="N49" s="62"/>
      <c r="O49" s="62"/>
      <c r="P49" s="62"/>
      <c r="Q49" s="62"/>
      <c r="R49" s="62"/>
      <c r="S49" s="62"/>
      <c r="T49" s="62"/>
      <c r="U49" s="62"/>
      <c r="V49" s="62"/>
    </row>
    <row r="50" spans="1:22" ht="12.75">
      <c r="A50" s="62"/>
      <c r="B50" s="62"/>
      <c r="C50" s="62"/>
      <c r="D50" s="62"/>
      <c r="E50" s="62"/>
      <c r="F50" s="62"/>
      <c r="G50" s="62"/>
      <c r="H50" s="62"/>
      <c r="I50" s="62"/>
      <c r="J50" s="62"/>
      <c r="K50" s="62"/>
      <c r="L50" s="62"/>
      <c r="M50" s="62"/>
      <c r="N50" s="62"/>
      <c r="O50" s="62"/>
      <c r="P50" s="62"/>
      <c r="Q50" s="62"/>
      <c r="R50" s="62"/>
      <c r="S50" s="62"/>
      <c r="T50" s="62"/>
      <c r="U50" s="62"/>
      <c r="V50" s="62"/>
    </row>
    <row r="51" spans="1:22" ht="12.75">
      <c r="A51" s="62"/>
      <c r="B51" s="62"/>
      <c r="C51" s="62"/>
      <c r="D51" s="62"/>
      <c r="E51" s="62"/>
      <c r="F51" s="62"/>
      <c r="G51" s="62"/>
      <c r="H51" s="62"/>
      <c r="I51" s="62"/>
      <c r="J51" s="62"/>
      <c r="K51" s="62"/>
      <c r="L51" s="62"/>
      <c r="M51" s="62"/>
      <c r="N51" s="62"/>
      <c r="O51" s="62"/>
      <c r="P51" s="62"/>
      <c r="Q51" s="62"/>
      <c r="R51" s="62"/>
      <c r="S51" s="62"/>
      <c r="T51" s="62"/>
      <c r="U51" s="62"/>
      <c r="V51" s="62"/>
    </row>
    <row r="52" spans="1:21" ht="12.75">
      <c r="A52" s="62"/>
      <c r="B52" s="62"/>
      <c r="C52" s="62"/>
      <c r="D52" s="62"/>
      <c r="E52" s="62"/>
      <c r="F52" s="62"/>
      <c r="G52" s="62"/>
      <c r="H52" s="62"/>
      <c r="I52" s="62"/>
      <c r="J52" s="62"/>
      <c r="K52" s="62"/>
      <c r="L52" s="62"/>
      <c r="M52" s="62"/>
      <c r="N52" s="62"/>
      <c r="O52" s="62"/>
      <c r="P52" s="62"/>
      <c r="Q52" s="62"/>
      <c r="R52" s="62"/>
      <c r="S52" s="62"/>
      <c r="T52" s="62"/>
      <c r="U52" s="62"/>
    </row>
    <row r="53" spans="1:21" ht="12.75">
      <c r="A53" s="62"/>
      <c r="B53" s="62"/>
      <c r="C53" s="62"/>
      <c r="D53" s="62"/>
      <c r="E53" s="62"/>
      <c r="F53" s="62"/>
      <c r="G53" s="62"/>
      <c r="H53" s="62"/>
      <c r="I53" s="62"/>
      <c r="J53" s="62"/>
      <c r="K53" s="62"/>
      <c r="L53" s="62"/>
      <c r="M53" s="62"/>
      <c r="N53" s="62"/>
      <c r="O53" s="62"/>
      <c r="P53" s="62"/>
      <c r="Q53" s="62"/>
      <c r="R53" s="62"/>
      <c r="S53" s="62"/>
      <c r="T53" s="62"/>
      <c r="U53" s="62"/>
    </row>
    <row r="54" spans="1:21" ht="12.75">
      <c r="A54" s="62"/>
      <c r="B54" s="62"/>
      <c r="C54" s="62"/>
      <c r="D54" s="62"/>
      <c r="E54" s="62"/>
      <c r="F54" s="62"/>
      <c r="G54" s="62"/>
      <c r="H54" s="62"/>
      <c r="I54" s="62"/>
      <c r="J54" s="62"/>
      <c r="K54" s="62"/>
      <c r="L54" s="62"/>
      <c r="M54" s="62"/>
      <c r="N54" s="62"/>
      <c r="O54" s="62"/>
      <c r="P54" s="62"/>
      <c r="Q54" s="62"/>
      <c r="R54" s="62"/>
      <c r="S54" s="62"/>
      <c r="T54" s="62"/>
      <c r="U54" s="62"/>
    </row>
  </sheetData>
  <sheetProtection selectLockedCells="1"/>
  <mergeCells count="4">
    <mergeCell ref="B2:L2"/>
    <mergeCell ref="D26:E26"/>
    <mergeCell ref="D28:E28"/>
    <mergeCell ref="B3:E3"/>
  </mergeCells>
  <dataValidations count="1">
    <dataValidation type="list" allowBlank="1" showInputMessage="1" showErrorMessage="1" prompt="Select an option from the list.&#10;If he exact task or scenario is not in the list, choose the most similar scenario." error="You can only select an option from the list" sqref="G10 H10:H13 G12">
      <formula1>$S$9:$S$36</formula1>
    </dataValidation>
  </dataValidations>
  <printOptions/>
  <pageMargins left="0.75" right="0.75" top="1" bottom="1" header="0.5" footer="0.5"/>
  <pageSetup horizontalDpi="600" verticalDpi="600" orientation="landscape" paperSize="9" scale="90" r:id="rId2"/>
  <drawing r:id="rId1"/>
</worksheet>
</file>

<file path=xl/worksheets/sheet10.xml><?xml version="1.0" encoding="utf-8"?>
<worksheet xmlns="http://schemas.openxmlformats.org/spreadsheetml/2006/main" xmlns:r="http://schemas.openxmlformats.org/officeDocument/2006/relationships">
  <sheetPr codeName="Sheet19">
    <pageSetUpPr fitToPage="1"/>
  </sheetPr>
  <dimension ref="A1:AD47"/>
  <sheetViews>
    <sheetView showRowColHeaders="0" zoomScalePageLayoutView="0" workbookViewId="0" topLeftCell="A1">
      <selection activeCell="C5" sqref="C5"/>
    </sheetView>
  </sheetViews>
  <sheetFormatPr defaultColWidth="9.140625" defaultRowHeight="12.75"/>
  <cols>
    <col min="1" max="1" width="2.140625" style="1" customWidth="1"/>
    <col min="2" max="2" width="48.28125" style="0" customWidth="1"/>
    <col min="3" max="3" width="27.8515625" style="0" customWidth="1"/>
    <col min="4" max="4" width="36.57421875" style="0" customWidth="1"/>
    <col min="5" max="5" width="29.421875" style="0" customWidth="1"/>
    <col min="6" max="11" width="0" style="32" hidden="1" customWidth="1"/>
    <col min="12" max="12" width="11.57421875" style="32" hidden="1" customWidth="1"/>
    <col min="13" max="17" width="0" style="32" hidden="1" customWidth="1"/>
    <col min="18" max="19" width="0" style="0" hidden="1" customWidth="1"/>
  </cols>
  <sheetData>
    <row r="1" spans="2:30" ht="14.25" customHeight="1">
      <c r="B1" s="81" t="s">
        <v>539</v>
      </c>
      <c r="C1" s="274">
        <f>IF(ISBLANK(Name_scenario),"",Name_scenario)</f>
      </c>
      <c r="D1" s="274"/>
      <c r="E1" s="22"/>
      <c r="G1" s="33"/>
      <c r="H1" s="33"/>
      <c r="I1" s="33"/>
      <c r="J1" s="33"/>
      <c r="T1" s="1"/>
      <c r="U1" s="1"/>
      <c r="V1" s="1"/>
      <c r="W1" s="1"/>
      <c r="X1" s="1"/>
      <c r="Y1" s="1"/>
      <c r="Z1" s="1"/>
      <c r="AA1" s="1"/>
      <c r="AB1" s="1"/>
      <c r="AC1" s="1"/>
      <c r="AD1" s="1"/>
    </row>
    <row r="2" spans="2:30" ht="14.25" customHeight="1">
      <c r="B2" s="46" t="s">
        <v>896</v>
      </c>
      <c r="C2" s="7"/>
      <c r="D2" s="7"/>
      <c r="E2" s="278" t="s">
        <v>900</v>
      </c>
      <c r="F2" s="32" t="s">
        <v>522</v>
      </c>
      <c r="G2" s="33"/>
      <c r="H2" s="33"/>
      <c r="I2" s="33"/>
      <c r="J2" s="33"/>
      <c r="T2" s="1"/>
      <c r="U2" s="1"/>
      <c r="V2" s="1"/>
      <c r="W2" s="1"/>
      <c r="X2" s="1"/>
      <c r="Y2" s="1"/>
      <c r="Z2" s="1"/>
      <c r="AA2" s="1"/>
      <c r="AB2" s="1"/>
      <c r="AC2" s="1"/>
      <c r="AD2" s="1"/>
    </row>
    <row r="3" spans="1:30" ht="12.75">
      <c r="A3" s="4"/>
      <c r="B3" s="4" t="s">
        <v>523</v>
      </c>
      <c r="C3" s="3" t="s">
        <v>524</v>
      </c>
      <c r="D3" s="3" t="s">
        <v>858</v>
      </c>
      <c r="E3" s="153" t="s">
        <v>326</v>
      </c>
      <c r="F3" s="34" t="s">
        <v>525</v>
      </c>
      <c r="G3" s="33"/>
      <c r="H3" s="33"/>
      <c r="I3" s="33"/>
      <c r="J3" s="33"/>
      <c r="T3" s="1"/>
      <c r="U3" s="1"/>
      <c r="V3" s="1"/>
      <c r="W3" s="1"/>
      <c r="X3" s="1"/>
      <c r="Y3" s="1"/>
      <c r="Z3" s="1"/>
      <c r="AA3" s="1"/>
      <c r="AB3" s="1"/>
      <c r="AC3" s="1"/>
      <c r="AD3" s="1"/>
    </row>
    <row r="4" spans="1:30" ht="13.5" thickBot="1">
      <c r="A4" s="7"/>
      <c r="B4" s="7"/>
      <c r="C4" s="7"/>
      <c r="D4" s="7"/>
      <c r="E4" s="154" t="s">
        <v>505</v>
      </c>
      <c r="G4" s="33"/>
      <c r="H4" s="33"/>
      <c r="I4" s="33"/>
      <c r="J4" s="33"/>
      <c r="T4" s="1"/>
      <c r="U4" s="1"/>
      <c r="V4" s="1"/>
      <c r="W4" s="1"/>
      <c r="X4" s="1"/>
      <c r="Y4" s="1"/>
      <c r="Z4" s="1"/>
      <c r="AA4" s="1"/>
      <c r="AB4" s="1"/>
      <c r="AC4" s="1"/>
      <c r="AD4" s="1"/>
    </row>
    <row r="5" spans="1:30" ht="13.5" thickBot="1">
      <c r="A5" s="7"/>
      <c r="B5" s="7" t="s">
        <v>540</v>
      </c>
      <c r="C5" s="283" t="s">
        <v>817</v>
      </c>
      <c r="D5" s="7"/>
      <c r="E5" s="187"/>
      <c r="F5" s="32">
        <f>IF(C5=Spraying_indoorsa,Spraying_indoors1,IF(C5=Spraying_indoorsb,Spraying_indoors2,))</f>
        <v>1</v>
      </c>
      <c r="G5" s="33" t="str">
        <f>Spraying_indoorsa</f>
        <v>Outdoors</v>
      </c>
      <c r="H5" s="33"/>
      <c r="I5" s="33"/>
      <c r="J5" s="33"/>
      <c r="T5" s="1"/>
      <c r="U5" s="1"/>
      <c r="V5" s="1"/>
      <c r="W5" s="1"/>
      <c r="X5" s="1"/>
      <c r="Y5" s="1"/>
      <c r="Z5" s="1"/>
      <c r="AA5" s="1"/>
      <c r="AB5" s="1"/>
      <c r="AC5" s="1"/>
      <c r="AD5" s="1"/>
    </row>
    <row r="6" spans="1:30" ht="13.5" thickBot="1">
      <c r="A6" s="7"/>
      <c r="B6" s="7"/>
      <c r="C6" s="7"/>
      <c r="D6" s="7"/>
      <c r="E6" s="187"/>
      <c r="G6" s="33" t="str">
        <f>Spraying_indoorsb</f>
        <v>Indoors</v>
      </c>
      <c r="H6" s="33"/>
      <c r="I6" s="33"/>
      <c r="J6" s="33"/>
      <c r="K6" s="33"/>
      <c r="O6" s="32">
        <v>1E-06</v>
      </c>
      <c r="P6" s="35"/>
      <c r="T6" s="1"/>
      <c r="U6" s="1"/>
      <c r="V6" s="1"/>
      <c r="W6" s="1"/>
      <c r="X6" s="1"/>
      <c r="Y6" s="1"/>
      <c r="Z6" s="1"/>
      <c r="AA6" s="1"/>
      <c r="AB6" s="1"/>
      <c r="AC6" s="1"/>
      <c r="AD6" s="1"/>
    </row>
    <row r="7" spans="1:30" ht="13.5" thickBot="1">
      <c r="A7" s="7"/>
      <c r="B7" s="7" t="s">
        <v>542</v>
      </c>
      <c r="C7" s="31" t="s">
        <v>700</v>
      </c>
      <c r="D7" s="7" t="str">
        <f>IF(C7=Spraying_orientationa,"The major direction of application is overhead",IF(C7=Spraying_orientationb,"The major direction of application is level",IF(C7=Spraying_orientationc,"The major direction of application is downward","")))</f>
        <v>The major direction of application is level</v>
      </c>
      <c r="E7" s="187"/>
      <c r="F7" s="32">
        <f>IF(C7=Spraying_orientationa,Spraying_orientation1,IF(C7=Spraying_orientationb,Spraying_orientation2,IF(C7=Spraying_orientationc,Spraying_orientation3,)))</f>
        <v>1</v>
      </c>
      <c r="G7" s="33" t="str">
        <f>Spraying_orientationa</f>
        <v>Overhead</v>
      </c>
      <c r="H7" s="33"/>
      <c r="I7" s="33"/>
      <c r="J7" s="33"/>
      <c r="K7" s="33" t="s">
        <v>824</v>
      </c>
      <c r="L7" s="38">
        <f>Spraying_intercept*Spraying_handeffect*Spraying_indoors*Spraying_orientation*Spraying_directionairflow*Spraying_segregation*Spraying_proximity*Spraying_volatility*Spraying_applicationrate^Spraying_powerhand</f>
        <v>32.00335582654745</v>
      </c>
      <c r="M7" s="32">
        <f>MATCH(Spraying_medianratehands,Digitfind,1)</f>
        <v>9</v>
      </c>
      <c r="N7" s="32" t="s">
        <v>832</v>
      </c>
      <c r="O7" s="32">
        <v>1E-05</v>
      </c>
      <c r="P7" s="37">
        <f>IF(Spraying_digitmedianratehands&lt;=9,ROUND(Spraying_medianratehands,(11-Spraying_digitmedianratehands-1)),IF(Spraying_digitmedianratehands&gt;9,ROUND(Spraying_medianratehands,-(Spraying_digitmedianratehands-10))))</f>
        <v>32</v>
      </c>
      <c r="Q7" s="32" t="s">
        <v>840</v>
      </c>
      <c r="T7" s="1"/>
      <c r="U7" s="1"/>
      <c r="V7" s="1"/>
      <c r="W7" s="1"/>
      <c r="X7" s="1"/>
      <c r="Y7" s="1"/>
      <c r="Z7" s="1"/>
      <c r="AA7" s="1"/>
      <c r="AB7" s="1"/>
      <c r="AC7" s="1"/>
      <c r="AD7" s="1"/>
    </row>
    <row r="8" spans="1:30" ht="12.75">
      <c r="A8" s="7"/>
      <c r="B8" s="7"/>
      <c r="C8" s="7"/>
      <c r="D8" s="7"/>
      <c r="E8" s="187"/>
      <c r="G8" s="33" t="str">
        <f>Spraying_orientationb</f>
        <v>Level</v>
      </c>
      <c r="H8" s="33"/>
      <c r="I8" s="33"/>
      <c r="J8" s="33"/>
      <c r="K8" s="33" t="s">
        <v>825</v>
      </c>
      <c r="L8" s="38">
        <f>Spraying_intercept*Spraying_bodyeffect*Spraying_indoors*Spraying_orientation*Spraying_directionairflow*Spraying_segregation*Spraying_proximity*Spraying_volatility*Spraying_applicationrate^Spraying_powerbody</f>
        <v>185.39161887602148</v>
      </c>
      <c r="M8" s="32">
        <f>MATCH(Spraying_medianratebody,Digitfind,1)</f>
        <v>10</v>
      </c>
      <c r="N8" s="32" t="s">
        <v>833</v>
      </c>
      <c r="O8" s="32">
        <v>0.0001</v>
      </c>
      <c r="P8" s="37">
        <f>IF(Spraying_digitmedianratebody&lt;=9,ROUND(Spraying_medianratebody,(11-Spraying_digitmedianratebody-1)),IF(Spraying_digitmedianratebody&gt;9,ROUND(Spraying_medianratebody,-(Spraying_digitmedianratebody-10))))</f>
        <v>185</v>
      </c>
      <c r="Q8" s="32" t="s">
        <v>841</v>
      </c>
      <c r="T8" s="1"/>
      <c r="U8" s="1"/>
      <c r="V8" s="1"/>
      <c r="W8" s="1"/>
      <c r="X8" s="1"/>
      <c r="Y8" s="1"/>
      <c r="Z8" s="1"/>
      <c r="AA8" s="1"/>
      <c r="AB8" s="1"/>
      <c r="AC8" s="1"/>
      <c r="AD8" s="1"/>
    </row>
    <row r="9" spans="1:30" ht="13.5" thickBot="1">
      <c r="A9" s="7"/>
      <c r="B9" s="7"/>
      <c r="C9" s="7"/>
      <c r="D9" s="7"/>
      <c r="E9" s="187"/>
      <c r="G9" s="33" t="str">
        <f>Spraying_orientationc</f>
        <v>Downward</v>
      </c>
      <c r="H9" s="33"/>
      <c r="I9" s="33"/>
      <c r="J9" s="33"/>
      <c r="K9" s="33" t="s">
        <v>826</v>
      </c>
      <c r="L9" s="38">
        <f>LOGINV(Spraying_percentile,LN(Spraying_medianratehands),LN(Spraying_GSD))</f>
        <v>318.0068488299897</v>
      </c>
      <c r="M9" s="32">
        <f>MATCH(Spraying_percentileratehands,Digitfind,1)</f>
        <v>10</v>
      </c>
      <c r="N9" s="32" t="s">
        <v>834</v>
      </c>
      <c r="O9" s="32">
        <v>0.001</v>
      </c>
      <c r="P9" s="37">
        <f>IF(Spraying_digitpercentileratehands&lt;=9,ROUND(Spraying_percentileratehands,(11-Spraying_digitpercentileratehands-1)),IF(Spraying_digitpercentileratehands&gt;9,ROUND(Spraying_percentileratehands,-(Spraying_digitpercentileratehands-10))))</f>
        <v>318</v>
      </c>
      <c r="Q9" s="32" t="s">
        <v>842</v>
      </c>
      <c r="T9" s="1"/>
      <c r="U9" s="1"/>
      <c r="V9" s="1"/>
      <c r="W9" s="1"/>
      <c r="X9" s="1"/>
      <c r="Y9" s="1"/>
      <c r="Z9" s="1"/>
      <c r="AA9" s="1"/>
      <c r="AB9" s="1"/>
      <c r="AC9" s="1"/>
      <c r="AD9" s="1"/>
    </row>
    <row r="10" spans="1:30" ht="39" thickBot="1">
      <c r="A10" s="43"/>
      <c r="B10" s="43" t="s">
        <v>544</v>
      </c>
      <c r="C10" s="45" t="s">
        <v>545</v>
      </c>
      <c r="D10" s="43" t="str">
        <f>IF(C10=Spraying_directionairflowa,"The airflow moves the contamination emitted from the source clearly away from the worker",IF(C10=Spraying_directionairflowb,"The airflow does not clearly move the contamination emitted from the source away from the worker",""))</f>
        <v>The airflow does not clearly move the contamination emitted from the source away from the worker</v>
      </c>
      <c r="E10" s="187"/>
      <c r="F10" s="32">
        <f>IF(C10=Spraying_directionairflowa,Spraying_directionairflow1,IF(C10=Spraying_directionairflowb,Spraying_directionairflow2,))</f>
        <v>1</v>
      </c>
      <c r="G10" s="33" t="str">
        <f>Spraying_directionairflowa</f>
        <v>Away from the worker</v>
      </c>
      <c r="H10" s="33"/>
      <c r="I10" s="33"/>
      <c r="J10" s="33"/>
      <c r="K10" s="33" t="s">
        <v>827</v>
      </c>
      <c r="L10" s="38">
        <f>LOGINV(Spraying_percentile,LN(Spraying_medianratebody),LN(Spraying_GSD))</f>
        <v>1842.1757030039016</v>
      </c>
      <c r="M10" s="32">
        <f>MATCH(Spraying_percentileratebody,Digitfind,1)</f>
        <v>11</v>
      </c>
      <c r="N10" s="32" t="s">
        <v>835</v>
      </c>
      <c r="O10" s="32">
        <v>0.01</v>
      </c>
      <c r="P10" s="37">
        <f>IF(Spraying_digitpercentileratebody&lt;=9,ROUND(Spraying_percentileratebody,(11-Spraying_digitpercentileratebody-1)),IF(Spraying_digitpercentileratebody&gt;9,ROUND(Spraying_percentileratebody,-(Spraying_digitpercentileratebody-10))))</f>
        <v>1840</v>
      </c>
      <c r="Q10" s="32" t="s">
        <v>843</v>
      </c>
      <c r="T10" s="1"/>
      <c r="U10" s="1"/>
      <c r="V10" s="1"/>
      <c r="W10" s="1"/>
      <c r="X10" s="1"/>
      <c r="Y10" s="1"/>
      <c r="Z10" s="1"/>
      <c r="AA10" s="1"/>
      <c r="AB10" s="1"/>
      <c r="AC10" s="1"/>
      <c r="AD10" s="1"/>
    </row>
    <row r="11" spans="1:30" ht="13.5" thickBot="1">
      <c r="A11" s="43"/>
      <c r="B11" s="43"/>
      <c r="C11" s="7"/>
      <c r="D11" s="7"/>
      <c r="E11" s="187"/>
      <c r="G11" s="33" t="str">
        <f>Spraying_directionairflowb</f>
        <v>Not clearly away from the worker</v>
      </c>
      <c r="H11" s="33"/>
      <c r="I11" s="33"/>
      <c r="J11" s="33"/>
      <c r="K11" s="33"/>
      <c r="O11" s="32">
        <v>0.1</v>
      </c>
      <c r="T11" s="1"/>
      <c r="U11" s="1"/>
      <c r="V11" s="1"/>
      <c r="W11" s="1"/>
      <c r="X11" s="1"/>
      <c r="Y11" s="1"/>
      <c r="Z11" s="1"/>
      <c r="AA11" s="1"/>
      <c r="AB11" s="1"/>
      <c r="AC11" s="1"/>
      <c r="AD11" s="1"/>
    </row>
    <row r="12" spans="1:30" ht="13.5" thickBot="1">
      <c r="A12" s="43"/>
      <c r="B12" s="43" t="s">
        <v>546</v>
      </c>
      <c r="C12" s="31" t="s">
        <v>547</v>
      </c>
      <c r="D12" s="7"/>
      <c r="E12" s="187"/>
      <c r="F12" s="32">
        <f>IF(C12=Spraying_segregationa,Spraying_segregation1,IF(C12=Spraying_segregationb,Spraying_segregation2,))</f>
        <v>1</v>
      </c>
      <c r="G12" s="33" t="str">
        <f>Spraying_segregationa</f>
        <v>Yes</v>
      </c>
      <c r="H12" s="33"/>
      <c r="I12" s="33"/>
      <c r="J12" s="33"/>
      <c r="K12" s="33" t="s">
        <v>828</v>
      </c>
      <c r="L12" s="38">
        <f>Spraying_medianratehands*Spraying_cumulativeduration</f>
        <v>32.00335582654745</v>
      </c>
      <c r="M12" s="32">
        <f>MATCH(Spraying_medianloadinghands,Digitfind,1)</f>
        <v>9</v>
      </c>
      <c r="N12" s="32" t="s">
        <v>836</v>
      </c>
      <c r="O12" s="32">
        <v>1</v>
      </c>
      <c r="P12" s="37">
        <f>IF(Spraying_digitmedianloadinghands&lt;=9,ROUND(Spraying_medianloadinghands,(11-Spraying_digitmedianloadinghands-1)),IF(Spraying_digitmedianloadinghands&gt;9,ROUND(Spraying_medianloadinghands,-(Spraying_digitmedianloadinghands-10))))</f>
        <v>32</v>
      </c>
      <c r="Q12" s="32" t="s">
        <v>844</v>
      </c>
      <c r="T12" s="1"/>
      <c r="U12" s="1"/>
      <c r="V12" s="1"/>
      <c r="W12" s="1"/>
      <c r="X12" s="1"/>
      <c r="Y12" s="1"/>
      <c r="Z12" s="1"/>
      <c r="AA12" s="1"/>
      <c r="AB12" s="1"/>
      <c r="AC12" s="1"/>
      <c r="AD12" s="1"/>
    </row>
    <row r="13" spans="1:30" ht="13.5" thickBot="1">
      <c r="A13" s="43"/>
      <c r="B13" s="43"/>
      <c r="C13" s="7"/>
      <c r="D13" s="7"/>
      <c r="E13" s="187"/>
      <c r="G13" s="33" t="str">
        <f>Spraying_segregationb</f>
        <v>No</v>
      </c>
      <c r="H13" s="33"/>
      <c r="I13" s="33"/>
      <c r="J13" s="33"/>
      <c r="K13" s="33" t="s">
        <v>829</v>
      </c>
      <c r="L13" s="38">
        <f>Spraying_medianratebody*Spraying_cumulativeduration</f>
        <v>185.39161887602148</v>
      </c>
      <c r="M13" s="32">
        <f>MATCH(Spraying_medianloadingbody,Digitfind,1)</f>
        <v>10</v>
      </c>
      <c r="N13" s="32" t="s">
        <v>837</v>
      </c>
      <c r="O13" s="32">
        <v>10</v>
      </c>
      <c r="P13" s="37">
        <f>IF(Spraying_digitmedianloadingbody&lt;=9,ROUND(Spraying_medianloadingbody,(11-Spraying_digitmedianloadingbody-1)),IF(Spraying_digitmedianloadingbody&gt;9,ROUND(Spraying_medianloadingbody,-(Spraying_digitmedianloadingbody-10))))</f>
        <v>185</v>
      </c>
      <c r="Q13" s="32" t="s">
        <v>845</v>
      </c>
      <c r="T13" s="1"/>
      <c r="U13" s="1"/>
      <c r="V13" s="1"/>
      <c r="W13" s="1"/>
      <c r="X13" s="1"/>
      <c r="Y13" s="1"/>
      <c r="Z13" s="1"/>
      <c r="AA13" s="1"/>
      <c r="AB13" s="1"/>
      <c r="AC13" s="1"/>
      <c r="AD13" s="1"/>
    </row>
    <row r="14" spans="1:30" ht="13.5" thickBot="1">
      <c r="A14" s="43"/>
      <c r="B14" s="43" t="s">
        <v>860</v>
      </c>
      <c r="C14" s="45" t="s">
        <v>548</v>
      </c>
      <c r="D14" s="7"/>
      <c r="E14" s="187"/>
      <c r="F14" s="32">
        <f>IF(C14=Spraying_proximitya,Spraying_proximity1,IF(C14=Spraying_proximityb,Spraying_proximity2,))</f>
        <v>1</v>
      </c>
      <c r="G14" s="33" t="str">
        <f>Spraying_proximitya</f>
        <v>More than 1 meter</v>
      </c>
      <c r="H14" s="33"/>
      <c r="I14" s="33"/>
      <c r="J14" s="33"/>
      <c r="K14" s="33" t="s">
        <v>830</v>
      </c>
      <c r="L14" s="38">
        <f>LOGINV(Spraying_percentile,LN(Spraying_medianloadinghands),LN(Spraying_GSD))</f>
        <v>318.0068488299897</v>
      </c>
      <c r="M14" s="32">
        <f>MATCH(Spraying_percentileloadinghands,Digitfind,1)</f>
        <v>10</v>
      </c>
      <c r="N14" s="32" t="s">
        <v>838</v>
      </c>
      <c r="O14" s="32">
        <v>100</v>
      </c>
      <c r="P14" s="37">
        <f>IF(Spraying_digitpercentileloadinghands&lt;=9,ROUND(Spraying_percentileloadinghands,(11-Spraying_digitpercentileloadinghands-1)),IF(Spraying_digitpercentileloadinghands&gt;9,ROUND(Spraying_percentileloadinghands,-(Spraying_digitpercentileloadinghands-10))))</f>
        <v>318</v>
      </c>
      <c r="Q14" s="32" t="s">
        <v>846</v>
      </c>
      <c r="T14" s="1"/>
      <c r="U14" s="1"/>
      <c r="V14" s="1"/>
      <c r="W14" s="1"/>
      <c r="X14" s="1"/>
      <c r="Y14" s="1"/>
      <c r="Z14" s="1"/>
      <c r="AA14" s="1"/>
      <c r="AB14" s="1"/>
      <c r="AC14" s="1"/>
      <c r="AD14" s="1"/>
    </row>
    <row r="15" spans="1:30" ht="13.5" thickBot="1">
      <c r="A15" s="43"/>
      <c r="B15" s="43"/>
      <c r="C15" s="7"/>
      <c r="D15" s="7"/>
      <c r="E15" s="187"/>
      <c r="G15" s="33" t="str">
        <f>Spraying_proximityb</f>
        <v>Up to 1 meter</v>
      </c>
      <c r="H15" s="33"/>
      <c r="I15" s="33"/>
      <c r="J15" s="33"/>
      <c r="K15" s="33" t="s">
        <v>831</v>
      </c>
      <c r="L15" s="38">
        <f>LOGINV(Spraying_percentile,LN(Spraying_medianloadingbody),LN(Spraying_GSD))</f>
        <v>1842.1757030039016</v>
      </c>
      <c r="M15" s="32">
        <f>MATCH(Spraying_percentileloadingbody,Digitfind,1)</f>
        <v>11</v>
      </c>
      <c r="N15" s="32" t="s">
        <v>839</v>
      </c>
      <c r="O15" s="32">
        <v>1000</v>
      </c>
      <c r="P15" s="37">
        <f>IF(Spraying_digitpercentileloadingbody&lt;=9,ROUND(Spraying_percentileloadingbody,(11-Spraying_digitpercentileloadingbody-1)),IF(Spraying_digitpercentileloadingbody&gt;9,ROUND(Spraying_percentileloadingbody,-(Spraying_digitpercentileloadingbody-10))))</f>
        <v>1840</v>
      </c>
      <c r="Q15" s="32" t="s">
        <v>847</v>
      </c>
      <c r="T15" s="1"/>
      <c r="U15" s="1"/>
      <c r="V15" s="1"/>
      <c r="W15" s="1"/>
      <c r="X15" s="1"/>
      <c r="Y15" s="1"/>
      <c r="Z15" s="1"/>
      <c r="AA15" s="1"/>
      <c r="AB15" s="1"/>
      <c r="AC15" s="1"/>
      <c r="AD15" s="1"/>
    </row>
    <row r="16" spans="1:30" ht="38.25" customHeight="1" thickBot="1">
      <c r="A16" s="43"/>
      <c r="B16" s="43" t="s">
        <v>549</v>
      </c>
      <c r="C16" s="45" t="s">
        <v>550</v>
      </c>
      <c r="D16" s="43" t="str">
        <f>IF(C16=Spraying_volatilitya,"The volatility is higher than that of water, e.g. comparable with high volatile solvents, such as acetone",IF(C16=Spraying_volatilityb,"The volatility is comparable with water or lower",""))</f>
        <v>The volatility is comparable with water or lower</v>
      </c>
      <c r="E16" s="187"/>
      <c r="F16" s="32">
        <f>IF(C16=Spraying_volatilitya,Spraying_volatility1,IF(C16=Spraying_volatilityb,Spraying_volatility2,))</f>
        <v>1</v>
      </c>
      <c r="G16" s="33" t="str">
        <f>Spraying_volatilitya</f>
        <v>Highly volatile</v>
      </c>
      <c r="H16" s="33"/>
      <c r="I16" s="33"/>
      <c r="J16" s="33"/>
      <c r="K16" s="33"/>
      <c r="O16" s="32">
        <v>10000</v>
      </c>
      <c r="P16" s="35"/>
      <c r="T16" s="1"/>
      <c r="U16" s="1"/>
      <c r="V16" s="1"/>
      <c r="W16" s="1"/>
      <c r="X16" s="1"/>
      <c r="Y16" s="1"/>
      <c r="Z16" s="1"/>
      <c r="AA16" s="1"/>
      <c r="AB16" s="1"/>
      <c r="AC16" s="1"/>
      <c r="AD16" s="1"/>
    </row>
    <row r="17" spans="1:30" ht="13.5" thickBot="1">
      <c r="A17" s="43"/>
      <c r="B17" s="43"/>
      <c r="C17" s="7"/>
      <c r="D17" s="7"/>
      <c r="E17" s="187"/>
      <c r="G17" s="33" t="str">
        <f>Spraying_volatilityb</f>
        <v>Not highly volatile</v>
      </c>
      <c r="H17" s="33"/>
      <c r="I17" s="33"/>
      <c r="J17" s="33"/>
      <c r="K17" s="33"/>
      <c r="O17" s="32">
        <v>100000</v>
      </c>
      <c r="P17" s="35"/>
      <c r="T17" s="1"/>
      <c r="U17" s="1"/>
      <c r="V17" s="1"/>
      <c r="W17" s="1"/>
      <c r="X17" s="1"/>
      <c r="Y17" s="1"/>
      <c r="Z17" s="1"/>
      <c r="AA17" s="1"/>
      <c r="AB17" s="1"/>
      <c r="AC17" s="1"/>
      <c r="AD17" s="1"/>
    </row>
    <row r="18" spans="1:30" ht="13.5" thickBot="1">
      <c r="A18" s="43"/>
      <c r="B18" s="43" t="s">
        <v>563</v>
      </c>
      <c r="C18" s="31" t="s">
        <v>809</v>
      </c>
      <c r="D18" s="7"/>
      <c r="E18" s="187"/>
      <c r="F18" s="32" t="str">
        <f>IF(C18=Spraying_unita,Spraying_unit1,IF(C18=Spraying_unitb,Spraying_unit2,))</f>
        <v>mg/min</v>
      </c>
      <c r="G18" s="33" t="str">
        <f>Spraying_unita</f>
        <v>Liquid</v>
      </c>
      <c r="H18" s="33"/>
      <c r="I18" s="33"/>
      <c r="J18" s="33"/>
      <c r="K18" s="33"/>
      <c r="O18" s="32">
        <v>1000000</v>
      </c>
      <c r="P18" s="35"/>
      <c r="T18" s="1"/>
      <c r="U18" s="1"/>
      <c r="V18" s="1"/>
      <c r="W18" s="1"/>
      <c r="X18" s="1"/>
      <c r="Y18" s="1"/>
      <c r="Z18" s="1"/>
      <c r="AA18" s="1"/>
      <c r="AB18" s="1"/>
      <c r="AC18" s="1"/>
      <c r="AD18" s="1"/>
    </row>
    <row r="19" spans="1:30" ht="13.5" thickBot="1">
      <c r="A19" s="43"/>
      <c r="B19" s="43"/>
      <c r="C19" s="7"/>
      <c r="D19" s="7"/>
      <c r="E19" s="187"/>
      <c r="G19" s="33" t="str">
        <f>Spraying_unitb</f>
        <v>Solid</v>
      </c>
      <c r="H19" s="33"/>
      <c r="I19" s="33"/>
      <c r="J19" s="33"/>
      <c r="T19" s="1"/>
      <c r="U19" s="1"/>
      <c r="V19" s="1"/>
      <c r="W19" s="1"/>
      <c r="X19" s="1"/>
      <c r="Y19" s="1"/>
      <c r="Z19" s="1"/>
      <c r="AA19" s="1"/>
      <c r="AB19" s="1"/>
      <c r="AC19" s="1"/>
      <c r="AD19" s="1"/>
    </row>
    <row r="20" spans="1:30" ht="26.25" thickBot="1">
      <c r="A20" s="43"/>
      <c r="B20" s="43" t="s">
        <v>564</v>
      </c>
      <c r="C20" s="45">
        <v>2.2</v>
      </c>
      <c r="D20" s="190" t="s">
        <v>565</v>
      </c>
      <c r="E20" s="189" t="s">
        <v>392</v>
      </c>
      <c r="F20" s="32">
        <f>Spraying_powerhand</f>
        <v>0.365</v>
      </c>
      <c r="G20" s="33"/>
      <c r="H20" s="33"/>
      <c r="I20" s="33"/>
      <c r="J20" s="33"/>
      <c r="T20" s="1"/>
      <c r="U20" s="1"/>
      <c r="V20" s="1"/>
      <c r="W20" s="1"/>
      <c r="X20" s="1"/>
      <c r="Y20" s="1"/>
      <c r="Z20" s="1"/>
      <c r="AA20" s="1"/>
      <c r="AB20" s="1"/>
      <c r="AC20" s="1"/>
      <c r="AD20" s="1"/>
    </row>
    <row r="21" spans="1:30" ht="12.75">
      <c r="A21" s="43"/>
      <c r="B21" s="43"/>
      <c r="C21" s="208" t="str">
        <f>IF(C18="Liquid",IF(Spraying_applicationrate&gt;50.4,"Model was based on values up to 50,4 L/min!",""),IF(Spraying_applicationrate&gt;0.12,"Model was based on values up to 0,12 kg/min!",""))</f>
        <v>Model was based on values up to 0,12 kg/min!</v>
      </c>
      <c r="D21" s="7"/>
      <c r="E21" s="188"/>
      <c r="G21" s="33"/>
      <c r="H21" s="33"/>
      <c r="I21" s="33"/>
      <c r="J21" s="33"/>
      <c r="T21" s="1"/>
      <c r="U21" s="1"/>
      <c r="V21" s="1"/>
      <c r="W21" s="1"/>
      <c r="X21" s="1"/>
      <c r="Y21" s="1"/>
      <c r="Z21" s="1"/>
      <c r="AA21" s="1"/>
      <c r="AB21" s="1"/>
      <c r="AC21" s="1"/>
      <c r="AD21" s="1"/>
    </row>
    <row r="22" spans="1:30" ht="13.5" thickBot="1">
      <c r="A22" s="43"/>
      <c r="B22" s="43"/>
      <c r="C22" s="7"/>
      <c r="D22" s="7"/>
      <c r="E22" s="187"/>
      <c r="F22" s="32">
        <f>Spraying_powerbody</f>
        <v>0.641</v>
      </c>
      <c r="G22" s="33"/>
      <c r="H22" s="33"/>
      <c r="I22" s="33"/>
      <c r="J22" s="33"/>
      <c r="T22" s="1"/>
      <c r="U22" s="1"/>
      <c r="V22" s="1"/>
      <c r="W22" s="1"/>
      <c r="X22" s="1"/>
      <c r="Y22" s="1"/>
      <c r="Z22" s="1"/>
      <c r="AA22" s="1"/>
      <c r="AB22" s="1"/>
      <c r="AC22" s="1"/>
      <c r="AD22" s="1"/>
    </row>
    <row r="23" spans="1:30" ht="26.25" thickBot="1">
      <c r="A23" s="43"/>
      <c r="B23" s="43" t="s">
        <v>526</v>
      </c>
      <c r="C23" s="58">
        <v>0.9</v>
      </c>
      <c r="D23" s="7" t="s">
        <v>527</v>
      </c>
      <c r="E23" s="187"/>
      <c r="F23" s="32">
        <f>Spraying_handeffect</f>
        <v>1</v>
      </c>
      <c r="G23" s="33"/>
      <c r="H23" s="33"/>
      <c r="I23" s="33"/>
      <c r="J23" s="33"/>
      <c r="T23" s="1"/>
      <c r="U23" s="1"/>
      <c r="V23" s="1"/>
      <c r="W23" s="1"/>
      <c r="X23" s="1"/>
      <c r="Y23" s="1"/>
      <c r="Z23" s="1"/>
      <c r="AA23" s="1"/>
      <c r="AB23" s="1"/>
      <c r="AC23" s="1"/>
      <c r="AD23" s="1"/>
    </row>
    <row r="24" spans="1:30" ht="13.5" thickBot="1">
      <c r="A24" s="7"/>
      <c r="B24" s="7"/>
      <c r="C24" s="9"/>
      <c r="D24" s="60" t="s">
        <v>895</v>
      </c>
      <c r="E24" s="187"/>
      <c r="F24" s="32">
        <f>Spraying_bodyeffect</f>
        <v>4.66</v>
      </c>
      <c r="G24" s="33"/>
      <c r="H24" s="33"/>
      <c r="I24" s="33"/>
      <c r="J24" s="33"/>
      <c r="T24" s="1"/>
      <c r="U24" s="1"/>
      <c r="V24" s="1"/>
      <c r="W24" s="1"/>
      <c r="X24" s="1"/>
      <c r="Y24" s="1"/>
      <c r="Z24" s="1"/>
      <c r="AA24" s="1"/>
      <c r="AB24" s="1"/>
      <c r="AC24" s="1"/>
      <c r="AD24" s="1"/>
    </row>
    <row r="25" spans="1:30" ht="16.5" customHeight="1" thickBot="1">
      <c r="A25" s="7"/>
      <c r="B25" s="7"/>
      <c r="C25" s="10" t="s">
        <v>528</v>
      </c>
      <c r="D25" s="11" t="s">
        <v>529</v>
      </c>
      <c r="E25" s="155"/>
      <c r="G25" s="33"/>
      <c r="H25" s="33"/>
      <c r="I25" s="33"/>
      <c r="J25" s="33"/>
      <c r="T25" s="1"/>
      <c r="U25" s="1"/>
      <c r="V25" s="1"/>
      <c r="W25" s="1"/>
      <c r="X25" s="1"/>
      <c r="Y25" s="1"/>
      <c r="Z25" s="1"/>
      <c r="AA25" s="1"/>
      <c r="AB25" s="1"/>
      <c r="AC25" s="1"/>
      <c r="AD25" s="1"/>
    </row>
    <row r="26" spans="1:30" ht="12.75">
      <c r="A26" s="82"/>
      <c r="B26" s="82" t="s">
        <v>576</v>
      </c>
      <c r="C26" s="16">
        <f>Spraying_medianhandsraterounded</f>
        <v>32</v>
      </c>
      <c r="D26" s="16">
        <f>Spraying_percentilehandsraterounded</f>
        <v>318</v>
      </c>
      <c r="E26" s="88" t="str">
        <f>Spraying_unit</f>
        <v>mg/min</v>
      </c>
      <c r="F26" s="32">
        <f>Spraying_intercept</f>
        <v>24</v>
      </c>
      <c r="G26" s="33"/>
      <c r="H26" s="33"/>
      <c r="I26" s="33"/>
      <c r="J26" s="33"/>
      <c r="T26" s="1"/>
      <c r="U26" s="1"/>
      <c r="V26" s="1"/>
      <c r="W26" s="1"/>
      <c r="X26" s="1"/>
      <c r="Y26" s="1"/>
      <c r="Z26" s="1"/>
      <c r="AA26" s="1"/>
      <c r="AB26" s="1"/>
      <c r="AC26" s="1"/>
      <c r="AD26" s="1"/>
    </row>
    <row r="27" spans="1:30" ht="13.5" thickBot="1">
      <c r="A27" s="83"/>
      <c r="B27" s="83" t="s">
        <v>577</v>
      </c>
      <c r="C27" s="17">
        <f>Spraying_medianbodyraterounded</f>
        <v>185</v>
      </c>
      <c r="D27" s="17">
        <f>Spraying_percentilebodyraterounded</f>
        <v>1840</v>
      </c>
      <c r="E27" s="89" t="str">
        <f>Spraying_unit</f>
        <v>mg/min</v>
      </c>
      <c r="G27" s="33"/>
      <c r="H27" s="33"/>
      <c r="I27" s="33"/>
      <c r="J27" s="33"/>
      <c r="T27" s="1"/>
      <c r="U27" s="1"/>
      <c r="V27" s="1"/>
      <c r="W27" s="1"/>
      <c r="X27" s="1"/>
      <c r="Y27" s="1"/>
      <c r="Z27" s="1"/>
      <c r="AA27" s="1"/>
      <c r="AB27" s="1"/>
      <c r="AC27" s="1"/>
      <c r="AD27" s="1"/>
    </row>
    <row r="28" spans="1:30" ht="13.5" thickBot="1">
      <c r="A28" s="7"/>
      <c r="B28" s="7"/>
      <c r="C28" s="7"/>
      <c r="D28" s="7"/>
      <c r="E28" s="187"/>
      <c r="F28" s="32">
        <f>Spraying_GSD</f>
        <v>6</v>
      </c>
      <c r="G28" s="33"/>
      <c r="H28" s="33"/>
      <c r="I28" s="33"/>
      <c r="J28" s="33"/>
      <c r="T28" s="1"/>
      <c r="U28" s="1"/>
      <c r="V28" s="1"/>
      <c r="W28" s="1"/>
      <c r="X28" s="1"/>
      <c r="Y28" s="1"/>
      <c r="Z28" s="1"/>
      <c r="AA28" s="1"/>
      <c r="AB28" s="1"/>
      <c r="AC28" s="1"/>
      <c r="AD28" s="1"/>
    </row>
    <row r="29" spans="1:30" ht="26.25" thickBot="1">
      <c r="A29" s="7"/>
      <c r="B29" s="7" t="s">
        <v>530</v>
      </c>
      <c r="C29" s="186">
        <v>1</v>
      </c>
      <c r="D29" s="7" t="s">
        <v>531</v>
      </c>
      <c r="E29" s="189" t="s">
        <v>720</v>
      </c>
      <c r="G29" s="33"/>
      <c r="H29" s="33"/>
      <c r="I29" s="33"/>
      <c r="J29" s="33"/>
      <c r="T29" s="1"/>
      <c r="U29" s="1"/>
      <c r="V29" s="1"/>
      <c r="W29" s="1"/>
      <c r="X29" s="1"/>
      <c r="Y29" s="1"/>
      <c r="Z29" s="1"/>
      <c r="AA29" s="1"/>
      <c r="AB29" s="1"/>
      <c r="AC29" s="1"/>
      <c r="AD29" s="1"/>
    </row>
    <row r="30" spans="1:30" ht="12.75">
      <c r="A30" s="7"/>
      <c r="B30" s="7"/>
      <c r="C30" s="208">
        <f>IF(C18="Liquid",IF(Spraying_cumulativeduration&gt;600,"Model was based on values up to 600 min spraying for liquids!",""),IF(Spraying_cumulativeduration&gt;90,"Model was based on values up to 90 min spraying for solids!",""))</f>
      </c>
      <c r="D30" s="7"/>
      <c r="E30" s="187"/>
      <c r="G30" s="33"/>
      <c r="H30" s="33"/>
      <c r="I30" s="33"/>
      <c r="J30" s="33"/>
      <c r="T30" s="1"/>
      <c r="U30" s="1"/>
      <c r="V30" s="1"/>
      <c r="W30" s="1"/>
      <c r="X30" s="1"/>
      <c r="Y30" s="1"/>
      <c r="Z30" s="1"/>
      <c r="AA30" s="1"/>
      <c r="AB30" s="1"/>
      <c r="AC30" s="1"/>
      <c r="AD30" s="1"/>
    </row>
    <row r="31" spans="1:30" ht="13.5" thickBot="1">
      <c r="A31" s="7"/>
      <c r="B31" s="7"/>
      <c r="C31" s="18"/>
      <c r="D31" s="7"/>
      <c r="E31" s="187"/>
      <c r="G31" s="33"/>
      <c r="H31" s="33"/>
      <c r="I31" s="33"/>
      <c r="J31" s="33"/>
      <c r="T31" s="1"/>
      <c r="U31" s="1"/>
      <c r="V31" s="1"/>
      <c r="W31" s="1"/>
      <c r="X31" s="1"/>
      <c r="Y31" s="1"/>
      <c r="Z31" s="1"/>
      <c r="AA31" s="1"/>
      <c r="AB31" s="1"/>
      <c r="AC31" s="1"/>
      <c r="AD31" s="1"/>
    </row>
    <row r="32" spans="1:30" ht="17.25" customHeight="1" thickBot="1">
      <c r="A32" s="91"/>
      <c r="B32" s="91"/>
      <c r="C32" s="10" t="s">
        <v>528</v>
      </c>
      <c r="D32" s="11" t="s">
        <v>529</v>
      </c>
      <c r="E32" s="187"/>
      <c r="G32" s="33"/>
      <c r="H32" s="33"/>
      <c r="I32" s="33"/>
      <c r="J32" s="33"/>
      <c r="T32" s="1"/>
      <c r="U32" s="1"/>
      <c r="V32" s="1"/>
      <c r="W32" s="1"/>
      <c r="X32" s="1"/>
      <c r="Y32" s="1"/>
      <c r="Z32" s="1"/>
      <c r="AA32" s="1"/>
      <c r="AB32" s="1"/>
      <c r="AC32" s="1"/>
      <c r="AD32" s="1"/>
    </row>
    <row r="33" spans="1:30" ht="12.75">
      <c r="A33" s="85"/>
      <c r="B33" s="85" t="s">
        <v>566</v>
      </c>
      <c r="C33" s="16">
        <f>Spraying_medianhandsloadingrounded</f>
        <v>32</v>
      </c>
      <c r="D33" s="16">
        <f>Spraying_percentilehandsloadingrounded</f>
        <v>318</v>
      </c>
      <c r="E33" s="88" t="str">
        <f>F33</f>
        <v>mg</v>
      </c>
      <c r="F33" s="32" t="str">
        <f>IF(C18=Spraying_unit2a,Spraying_unit21,IF(C18=Spraying_unit2b,Spraying_unit22,))</f>
        <v>mg</v>
      </c>
      <c r="G33" s="33" t="str">
        <f>Spraying_unit2a</f>
        <v>Liquid</v>
      </c>
      <c r="H33" s="33"/>
      <c r="I33" s="33"/>
      <c r="J33" s="33"/>
      <c r="T33" s="1"/>
      <c r="U33" s="1"/>
      <c r="V33" s="1"/>
      <c r="W33" s="1"/>
      <c r="X33" s="1"/>
      <c r="Y33" s="1"/>
      <c r="Z33" s="1"/>
      <c r="AA33" s="1"/>
      <c r="AB33" s="1"/>
      <c r="AC33" s="1"/>
      <c r="AD33" s="1"/>
    </row>
    <row r="34" spans="1:30" ht="13.5" thickBot="1">
      <c r="A34" s="86"/>
      <c r="B34" s="86" t="s">
        <v>532</v>
      </c>
      <c r="C34" s="17">
        <f>Spraying_medianbodyloadingrounded</f>
        <v>185</v>
      </c>
      <c r="D34" s="17">
        <f>Spraying_percentilebodyloadingrounded</f>
        <v>1840</v>
      </c>
      <c r="E34" s="89" t="str">
        <f>F33</f>
        <v>mg</v>
      </c>
      <c r="G34" s="33" t="str">
        <f>Spraying_unit2b</f>
        <v>Solid</v>
      </c>
      <c r="H34" s="33"/>
      <c r="I34" s="33"/>
      <c r="J34" s="33"/>
      <c r="T34" s="1"/>
      <c r="U34" s="1"/>
      <c r="V34" s="1"/>
      <c r="W34" s="1"/>
      <c r="X34" s="1"/>
      <c r="Y34" s="1"/>
      <c r="Z34" s="1"/>
      <c r="AA34" s="1"/>
      <c r="AB34" s="1"/>
      <c r="AC34" s="1"/>
      <c r="AD34" s="1"/>
    </row>
    <row r="35" spans="2:30" ht="12.75">
      <c r="B35" s="206" t="s">
        <v>166</v>
      </c>
      <c r="C35" s="7"/>
      <c r="D35" s="7"/>
      <c r="E35" s="7"/>
      <c r="G35" s="33"/>
      <c r="H35" s="33"/>
      <c r="I35" s="33"/>
      <c r="J35" s="33"/>
      <c r="T35" s="1"/>
      <c r="U35" s="1"/>
      <c r="V35" s="1"/>
      <c r="W35" s="1"/>
      <c r="X35" s="1"/>
      <c r="Y35" s="1"/>
      <c r="Z35" s="1"/>
      <c r="AA35" s="1"/>
      <c r="AB35" s="1"/>
      <c r="AC35" s="1"/>
      <c r="AD35" s="1"/>
    </row>
    <row r="36" spans="2:30" ht="12.75">
      <c r="B36" s="7"/>
      <c r="C36" s="7"/>
      <c r="D36" s="7"/>
      <c r="E36" s="7"/>
      <c r="T36" s="1"/>
      <c r="U36" s="1"/>
      <c r="V36" s="1"/>
      <c r="W36" s="1"/>
      <c r="X36" s="1"/>
      <c r="Y36" s="1"/>
      <c r="Z36" s="1"/>
      <c r="AA36" s="1"/>
      <c r="AB36" s="1"/>
      <c r="AC36" s="1"/>
      <c r="AD36" s="1"/>
    </row>
    <row r="37" spans="2:30" ht="12.75">
      <c r="B37" s="87">
        <f>IF(C33/820&gt;12,"The median exposure loading per shift for body is higher than what is considered reasonable. Use this result with caution!","")</f>
      </c>
      <c r="C37" s="7"/>
      <c r="D37" s="7"/>
      <c r="E37" s="7"/>
      <c r="T37" s="1"/>
      <c r="U37" s="1"/>
      <c r="V37" s="1"/>
      <c r="W37" s="1"/>
      <c r="X37" s="1"/>
      <c r="Y37" s="1"/>
      <c r="Z37" s="1"/>
      <c r="AA37" s="1"/>
      <c r="AB37" s="1"/>
      <c r="AC37" s="1"/>
      <c r="AD37" s="1"/>
    </row>
    <row r="38" spans="2:30" ht="12.75">
      <c r="B38" s="87">
        <f>IF(C34/18720&gt;12,"The median exposure loading per shift for body is higher than what is considered reasonable. Use this result with caution!","")</f>
      </c>
      <c r="C38" s="7"/>
      <c r="D38" s="7"/>
      <c r="E38" s="7"/>
      <c r="T38" s="1"/>
      <c r="U38" s="1"/>
      <c r="V38" s="1"/>
      <c r="W38" s="1"/>
      <c r="X38" s="1"/>
      <c r="Y38" s="1"/>
      <c r="Z38" s="1"/>
      <c r="AA38" s="1"/>
      <c r="AB38" s="1"/>
      <c r="AC38" s="1"/>
      <c r="AD38" s="1"/>
    </row>
    <row r="39" spans="2:30" ht="12.75">
      <c r="B39" s="87">
        <f>IF(D33/820&gt;12,"The 'percentile distribution' exposure loading per shift for bodys is higher than what is considered reasonable. Use this result with caution!","")</f>
      </c>
      <c r="C39" s="7"/>
      <c r="D39" s="7"/>
      <c r="E39" s="7"/>
      <c r="T39" s="1"/>
      <c r="U39" s="1"/>
      <c r="V39" s="1"/>
      <c r="W39" s="1"/>
      <c r="X39" s="1"/>
      <c r="Y39" s="1"/>
      <c r="Z39" s="1"/>
      <c r="AA39" s="1"/>
      <c r="AB39" s="1"/>
      <c r="AC39" s="1"/>
      <c r="AD39" s="1"/>
    </row>
    <row r="40" spans="2:30" ht="12.75">
      <c r="B40" s="87">
        <f>IF(D34/18720&gt;12,"The 'percentile distribution' exposure loading per shift for body is higher than what is considered reasonable. Use this result with caution!","")</f>
      </c>
      <c r="C40" s="7"/>
      <c r="D40" s="7"/>
      <c r="E40" s="7"/>
      <c r="T40" s="1"/>
      <c r="U40" s="1"/>
      <c r="V40" s="1"/>
      <c r="W40" s="1"/>
      <c r="X40" s="1"/>
      <c r="Y40" s="1"/>
      <c r="Z40" s="1"/>
      <c r="AA40" s="1"/>
      <c r="AB40" s="1"/>
      <c r="AC40" s="1"/>
      <c r="AD40" s="1"/>
    </row>
    <row r="41" spans="1:30" ht="24.75" customHeight="1">
      <c r="A41" s="109">
        <f>IF(LN(Wiping_applicationrate)/Wiping_cumulativeduration&gt;0.0233,"X","")</f>
      </c>
      <c r="B41" s="334">
        <f>IF(C18="Liquid",IF(Spraying_applicationrate&gt;-0.05*Spraying_cumulativeduration+36,"Only 3 cases occurred in the data set for liquids with an application rate that was so high relative to the duration of measurement!",""),"")</f>
      </c>
      <c r="C41" s="335"/>
      <c r="D41" s="335"/>
      <c r="E41" s="7"/>
      <c r="T41" s="1"/>
      <c r="U41" s="1"/>
      <c r="V41" s="1"/>
      <c r="W41" s="1"/>
      <c r="X41" s="1"/>
      <c r="Y41" s="1"/>
      <c r="Z41" s="1"/>
      <c r="AA41" s="1"/>
      <c r="AB41" s="1"/>
      <c r="AC41" s="1"/>
      <c r="AD41" s="1"/>
    </row>
    <row r="42" spans="6:17" s="1" customFormat="1" ht="12.75">
      <c r="F42" s="33"/>
      <c r="G42" s="33"/>
      <c r="H42" s="33"/>
      <c r="I42" s="33"/>
      <c r="J42" s="33"/>
      <c r="K42" s="33"/>
      <c r="L42" s="33"/>
      <c r="M42" s="33"/>
      <c r="N42" s="33"/>
      <c r="O42" s="33"/>
      <c r="P42" s="33"/>
      <c r="Q42" s="33"/>
    </row>
    <row r="43" spans="6:17" s="1" customFormat="1" ht="12.75">
      <c r="F43" s="33"/>
      <c r="G43" s="33"/>
      <c r="H43" s="33"/>
      <c r="I43" s="33"/>
      <c r="J43" s="33"/>
      <c r="K43" s="33"/>
      <c r="L43" s="33"/>
      <c r="M43" s="33"/>
      <c r="N43" s="33"/>
      <c r="O43" s="33"/>
      <c r="P43" s="33"/>
      <c r="Q43" s="33"/>
    </row>
    <row r="44" spans="6:17" s="1" customFormat="1" ht="12.75">
      <c r="F44" s="33"/>
      <c r="G44" s="33"/>
      <c r="H44" s="33"/>
      <c r="I44" s="33"/>
      <c r="J44" s="33"/>
      <c r="K44" s="33"/>
      <c r="L44" s="33"/>
      <c r="M44" s="33"/>
      <c r="N44" s="33"/>
      <c r="O44" s="33"/>
      <c r="P44" s="33"/>
      <c r="Q44" s="33"/>
    </row>
    <row r="45" spans="6:17" s="1" customFormat="1" ht="12.75">
      <c r="F45" s="33"/>
      <c r="G45" s="33"/>
      <c r="H45" s="33"/>
      <c r="I45" s="33"/>
      <c r="J45" s="33"/>
      <c r="K45" s="33"/>
      <c r="L45" s="33"/>
      <c r="M45" s="33"/>
      <c r="N45" s="33"/>
      <c r="O45" s="33"/>
      <c r="P45" s="33"/>
      <c r="Q45" s="33"/>
    </row>
    <row r="46" spans="6:17" s="1" customFormat="1" ht="12.75">
      <c r="F46" s="33"/>
      <c r="G46" s="33"/>
      <c r="H46" s="33"/>
      <c r="I46" s="33"/>
      <c r="J46" s="33"/>
      <c r="K46" s="33"/>
      <c r="L46" s="33"/>
      <c r="M46" s="33"/>
      <c r="N46" s="33"/>
      <c r="O46" s="33"/>
      <c r="P46" s="33"/>
      <c r="Q46" s="33"/>
    </row>
    <row r="47" spans="6:17" s="1" customFormat="1" ht="12.75">
      <c r="F47" s="33"/>
      <c r="G47" s="33"/>
      <c r="H47" s="33"/>
      <c r="I47" s="33"/>
      <c r="J47" s="33"/>
      <c r="K47" s="33"/>
      <c r="L47" s="33"/>
      <c r="M47" s="33"/>
      <c r="N47" s="33"/>
      <c r="O47" s="33"/>
      <c r="P47" s="33"/>
      <c r="Q47" s="33"/>
    </row>
  </sheetData>
  <sheetProtection password="EDCB" sheet="1" objects="1" scenarios="1" selectLockedCells="1"/>
  <mergeCells count="1">
    <mergeCell ref="B41:D41"/>
  </mergeCells>
  <conditionalFormatting sqref="A41">
    <cfRule type="cellIs" priority="1" dxfId="12" operator="equal" stopIfTrue="1">
      <formula>"X"</formula>
    </cfRule>
  </conditionalFormatting>
  <dataValidations count="11">
    <dataValidation type="decimal" allowBlank="1" showInputMessage="1" showErrorMessage="1" prompt="Give the application rate in either L/min or Kg/min" error="You can only enter values between 0 and 100" sqref="C20">
      <formula1>0</formula1>
      <formula2>100</formula2>
    </dataValidation>
    <dataValidation type="decimal" allowBlank="1" showInputMessage="1" showErrorMessage="1" prompt="Give the percentile of the outcome distribution that you want to assess" error="The value most be between 0 and 100" sqref="C23:C24">
      <formula1>0</formula1>
      <formula2>100</formula2>
    </dataValidation>
    <dataValidation type="whole" allowBlank="1" showInputMessage="1" showErrorMessage="1" prompt="Give the cumulative duration of spraying per shift in minutes; maximum = 540 minutes" error="You can only enter a value between 0 and 540" sqref="C31">
      <formula1>0</formula1>
      <formula2>540</formula2>
    </dataValidation>
    <dataValidation type="list" allowBlank="1" showInputMessage="1" showErrorMessage="1" prompt="Select &quot;Indoors&quot; or &quot;Outdoors&quot;" error="You can only select &quot;Indoors&quot; or &quot;Outdoors&quot;&#10;" sqref="C5">
      <formula1>$G$5:$G$6</formula1>
    </dataValidation>
    <dataValidation type="list" allowBlank="1" showInputMessage="1" showErrorMessage="1" prompt="Select the most appropriate option from the list" error="You can only select an option from the list" sqref="C7">
      <formula1>$G$7:$G$9</formula1>
    </dataValidation>
    <dataValidation type="list" allowBlank="1" showInputMessage="1" showErrorMessage="1" prompt="Select &quot;Away from the worker&quot; if the direction of airflow starting at the source is clearly away from the worker; otherwise, select &quot;Not clearly away from the worker&quot;." error="You can only select an option from the list" sqref="C10">
      <formula1>$G$10:$G$11</formula1>
    </dataValidation>
    <dataValidation type="list" allowBlank="1" showInputMessage="1" showErrorMessage="1" prompt="Select &quot;Yes&quot; if there is a segregation between source and worker, e.g. if the worker is in a different room than the source. Otherwise, select &quot;No&quot;." error="You can only select &quot;Yes&quot; or &quot;No&quot;" sqref="C12">
      <formula1>$G$12:$G$13</formula1>
    </dataValidation>
    <dataValidation type="list" allowBlank="1" showInputMessage="1" showErrorMessage="1" prompt="Select either &quot;More than 1 meter&quot; or &quot;Up to 1 meter&quot;" error="You can only select a value from the list" sqref="C14">
      <formula1>$G$14:$G$15</formula1>
    </dataValidation>
    <dataValidation type="list" allowBlank="1" showInputMessage="1" showErrorMessage="1" prompt="Select &quot;Highly volatile&quot; if the carrier liquid is comparable to highly volatile organic solvents; otherwise, e.g. if the carrier liquid is water of lower volatile, select &quot;Not highly volatile&quot;" error="You can only select &quot;Highly volatile&quot; or &quot;Not highly volatile&quot;" sqref="C16">
      <formula1>$G$16:$G$17</formula1>
    </dataValidation>
    <dataValidation type="list" allowBlank="1" showInputMessage="1" showErrorMessage="1" prompt="Select &quot;Liquid&quot; or &quot;Solid&quot;" error="You can only select &quot;Liquid&quot; or &quot;Solid&quot;" sqref="C18">
      <formula1>$G$18:$G$19</formula1>
    </dataValidation>
    <dataValidation type="whole" allowBlank="1" showInputMessage="1" showErrorMessage="1" prompt="Give the cumulative duration of spraying per shift in minutes; maximum = 540 minutes" error="You can only enter a value between 0 and 540" sqref="C29">
      <formula1>0</formula1>
      <formula2>600</formula2>
    </dataValidation>
  </dataValidations>
  <printOptions/>
  <pageMargins left="0.75" right="0.75" top="1" bottom="1" header="0.5" footer="0.5"/>
  <pageSetup fitToHeight="1" fitToWidth="1" horizontalDpi="600" verticalDpi="600" orientation="landscape" paperSize="9" scale="68" r:id="rId4"/>
  <headerFooter alignWithMargins="0">
    <oddHeader>&amp;CDEO unit 4&amp;R&amp;D</oddHeader>
    <oddFooter>&amp;LRISKOFDERM Potential dermal exposure model; version 1.0; December 2003</oddFooter>
  </headerFooter>
  <drawing r:id="rId3"/>
  <legacyDrawing r:id="rId2"/>
</worksheet>
</file>

<file path=xl/worksheets/sheet11.xml><?xml version="1.0" encoding="utf-8"?>
<worksheet xmlns="http://schemas.openxmlformats.org/spreadsheetml/2006/main" xmlns:r="http://schemas.openxmlformats.org/officeDocument/2006/relationships">
  <sheetPr codeName="Sheet20"/>
  <dimension ref="A1:H31"/>
  <sheetViews>
    <sheetView showRowColHeaders="0" zoomScalePageLayoutView="0" workbookViewId="0" topLeftCell="A1">
      <selection activeCell="A1" sqref="A1"/>
    </sheetView>
  </sheetViews>
  <sheetFormatPr defaultColWidth="9.140625" defaultRowHeight="12.75"/>
  <cols>
    <col min="1" max="1" width="2.28125" style="0" customWidth="1"/>
    <col min="2" max="2" width="20.7109375" style="0" customWidth="1"/>
    <col min="3" max="3" width="19.57421875" style="0" customWidth="1"/>
    <col min="4" max="4" width="25.140625" style="0" customWidth="1"/>
    <col min="5" max="5" width="18.57421875" style="0" customWidth="1"/>
    <col min="6" max="6" width="17.7109375" style="0" customWidth="1"/>
  </cols>
  <sheetData>
    <row r="1" spans="1:5" ht="12.75">
      <c r="A1" s="251"/>
      <c r="B1" s="127" t="s">
        <v>368</v>
      </c>
      <c r="C1" s="270">
        <f>IF(ISBLANK(Name_scenario),"",Name_scenario)</f>
      </c>
      <c r="D1" s="277"/>
      <c r="E1" s="41" t="s">
        <v>371</v>
      </c>
    </row>
    <row r="2" spans="2:4" ht="8.25" customHeight="1">
      <c r="B2" s="20"/>
      <c r="C2" s="21"/>
      <c r="D2" s="128"/>
    </row>
    <row r="3" spans="2:4" ht="12.75">
      <c r="B3" s="20" t="s">
        <v>848</v>
      </c>
      <c r="C3" s="21"/>
      <c r="D3" s="129" t="str">
        <f>Spraying!C5</f>
        <v>Indoors</v>
      </c>
    </row>
    <row r="4" spans="2:4" ht="28.5" customHeight="1">
      <c r="B4" s="344" t="s">
        <v>542</v>
      </c>
      <c r="C4" s="345"/>
      <c r="D4" s="129" t="str">
        <f>Spraying!C7</f>
        <v>Level</v>
      </c>
    </row>
    <row r="5" spans="2:4" ht="27.75" customHeight="1">
      <c r="B5" s="344" t="s">
        <v>544</v>
      </c>
      <c r="C5" s="345"/>
      <c r="D5" s="191" t="str">
        <f>Spraying!C10</f>
        <v>Not clearly away from the worker</v>
      </c>
    </row>
    <row r="6" spans="2:4" ht="12.75">
      <c r="B6" s="20" t="s">
        <v>546</v>
      </c>
      <c r="C6" s="21"/>
      <c r="D6" s="129" t="str">
        <f>Spraying!C12</f>
        <v>No</v>
      </c>
    </row>
    <row r="7" spans="2:4" ht="12.75">
      <c r="B7" s="20" t="s">
        <v>849</v>
      </c>
      <c r="C7" s="21"/>
      <c r="D7" s="129" t="str">
        <f>Spraying!C14</f>
        <v>Up to 1 meter</v>
      </c>
    </row>
    <row r="8" spans="2:4" ht="12.75">
      <c r="B8" s="20" t="s">
        <v>549</v>
      </c>
      <c r="C8" s="21"/>
      <c r="D8" s="129" t="str">
        <f>Spraying!C16</f>
        <v>Not highly volatile</v>
      </c>
    </row>
    <row r="9" spans="2:5" ht="12.75">
      <c r="B9" s="20" t="s">
        <v>563</v>
      </c>
      <c r="C9" s="21"/>
      <c r="D9" s="129" t="str">
        <f>Spraying!C18</f>
        <v>Solid</v>
      </c>
      <c r="E9" s="163"/>
    </row>
    <row r="10" spans="2:5" ht="12.75">
      <c r="B10" s="20" t="s">
        <v>421</v>
      </c>
      <c r="C10" s="21"/>
      <c r="D10" s="129">
        <f>Spraying_applicationrate</f>
        <v>2.2</v>
      </c>
      <c r="E10" s="193" t="str">
        <f>Spraying!C21</f>
        <v>Model was based on values up to 0,12 kg/min!</v>
      </c>
    </row>
    <row r="11" spans="2:5" ht="12.75">
      <c r="B11" s="125" t="s">
        <v>372</v>
      </c>
      <c r="C11" s="126"/>
      <c r="D11" s="130">
        <f>Spraying_cumulativeduration</f>
        <v>1</v>
      </c>
      <c r="E11" s="194">
        <f>Spraying!C30</f>
      </c>
    </row>
    <row r="12" spans="2:5" ht="12.75">
      <c r="B12" s="21"/>
      <c r="C12" s="21"/>
      <c r="D12" s="168"/>
      <c r="E12" s="122"/>
    </row>
    <row r="13" spans="2:5" ht="12.75">
      <c r="B13" s="192">
        <f>Spraying!B41</f>
      </c>
      <c r="C13" s="21"/>
      <c r="D13" s="168"/>
      <c r="E13" s="122"/>
    </row>
    <row r="14" ht="12.75">
      <c r="B14" s="123"/>
    </row>
    <row r="15" spans="2:7" ht="12.75">
      <c r="B15" s="264" t="s">
        <v>166</v>
      </c>
      <c r="C15" s="21"/>
      <c r="D15" s="192"/>
      <c r="E15" s="21"/>
      <c r="F15" s="21"/>
      <c r="G15" s="21"/>
    </row>
    <row r="16" spans="2:7" ht="12.75">
      <c r="B16" s="266"/>
      <c r="C16" s="21"/>
      <c r="D16" s="192"/>
      <c r="E16" s="21"/>
      <c r="F16" s="21"/>
      <c r="G16" s="21"/>
    </row>
    <row r="18" spans="2:6" ht="14.25">
      <c r="B18" s="124" t="s">
        <v>373</v>
      </c>
      <c r="C18" s="342" t="s">
        <v>331</v>
      </c>
      <c r="D18" s="343"/>
      <c r="E18" s="342" t="s">
        <v>332</v>
      </c>
      <c r="F18" s="343"/>
    </row>
    <row r="19" spans="2:6" ht="25.5">
      <c r="B19" s="131"/>
      <c r="C19" s="303" t="s">
        <v>348</v>
      </c>
      <c r="D19" s="297" t="s">
        <v>349</v>
      </c>
      <c r="E19" s="303" t="s">
        <v>350</v>
      </c>
      <c r="F19" s="305" t="s">
        <v>351</v>
      </c>
    </row>
    <row r="20" spans="2:7" ht="12.75">
      <c r="B20" s="137">
        <v>0.1</v>
      </c>
      <c r="C20" s="139">
        <f aca="true" t="shared" si="0" ref="C20:C30">LOGINV(B20,LN(Spraying_medianhandsraterounded),LN(Spraying_GSD))</f>
        <v>3.2203941211247873</v>
      </c>
      <c r="D20" s="135">
        <f aca="true" t="shared" si="1" ref="D20:D30">C20*Spraying_cumulativeduration</f>
        <v>3.2203941211247873</v>
      </c>
      <c r="E20" s="143">
        <f aca="true" t="shared" si="2" ref="E20:E30">LOGINV(B20,LN(Spraying_medianbodyraterounded),LN(Spraying_GSD))</f>
        <v>18.61790351275267</v>
      </c>
      <c r="F20" s="132">
        <f aca="true" t="shared" si="3" ref="F20:F30">E20*Spraying_cumulativeduration</f>
        <v>18.61790351275267</v>
      </c>
      <c r="G20" s="167">
        <f aca="true" t="shared" si="4" ref="G20:G29">IF(D20&gt;820*12,"May be unrealistic",IF(F20&gt;18720*12,"May be unrealistic",""))</f>
      </c>
    </row>
    <row r="21" spans="2:8" ht="12.75">
      <c r="B21" s="137">
        <v>0.2</v>
      </c>
      <c r="C21" s="139">
        <f t="shared" si="0"/>
        <v>7.083393409744619</v>
      </c>
      <c r="D21" s="135">
        <f t="shared" si="1"/>
        <v>7.083393409744619</v>
      </c>
      <c r="E21" s="144">
        <f t="shared" si="2"/>
        <v>40.95086815008607</v>
      </c>
      <c r="F21" s="133">
        <f t="shared" si="3"/>
        <v>40.95086815008607</v>
      </c>
      <c r="G21" s="167">
        <f t="shared" si="4"/>
      </c>
      <c r="H21" s="21"/>
    </row>
    <row r="22" spans="2:8" ht="12.75">
      <c r="B22" s="137">
        <v>0.3</v>
      </c>
      <c r="C22" s="139">
        <f t="shared" si="0"/>
        <v>12.505096966115048</v>
      </c>
      <c r="D22" s="135">
        <f t="shared" si="1"/>
        <v>12.505096966115048</v>
      </c>
      <c r="E22" s="144">
        <f t="shared" si="2"/>
        <v>72.29509183535255</v>
      </c>
      <c r="F22" s="133">
        <f t="shared" si="3"/>
        <v>72.29509183535255</v>
      </c>
      <c r="G22" s="167">
        <f t="shared" si="4"/>
      </c>
      <c r="H22" s="21"/>
    </row>
    <row r="23" spans="2:8" ht="12.75">
      <c r="B23" s="137">
        <v>0.4</v>
      </c>
      <c r="C23" s="139">
        <f t="shared" si="0"/>
        <v>20.32392638707632</v>
      </c>
      <c r="D23" s="135">
        <f t="shared" si="1"/>
        <v>20.32392638707632</v>
      </c>
      <c r="E23" s="144">
        <f t="shared" si="2"/>
        <v>117.49769942528498</v>
      </c>
      <c r="F23" s="133">
        <f t="shared" si="3"/>
        <v>117.49769942528498</v>
      </c>
      <c r="G23" s="167">
        <f t="shared" si="4"/>
      </c>
      <c r="H23" s="21"/>
    </row>
    <row r="24" spans="2:8" ht="12.75">
      <c r="B24" s="137">
        <v>0.5</v>
      </c>
      <c r="C24" s="139">
        <f t="shared" si="0"/>
        <v>32</v>
      </c>
      <c r="D24" s="135">
        <f>C24*Spraying_cumulativeduration</f>
        <v>32</v>
      </c>
      <c r="E24" s="144">
        <f t="shared" si="2"/>
        <v>184.99999999999991</v>
      </c>
      <c r="F24" s="133">
        <f t="shared" si="3"/>
        <v>184.99999999999991</v>
      </c>
      <c r="G24" s="167">
        <f t="shared" si="4"/>
      </c>
      <c r="H24" s="21"/>
    </row>
    <row r="25" spans="2:8" ht="12.75">
      <c r="B25" s="137">
        <v>0.6</v>
      </c>
      <c r="C25" s="139">
        <f t="shared" si="0"/>
        <v>50.38396520916087</v>
      </c>
      <c r="D25" s="135">
        <f t="shared" si="1"/>
        <v>50.38396520916087</v>
      </c>
      <c r="E25" s="144">
        <f t="shared" si="2"/>
        <v>291.28229886546103</v>
      </c>
      <c r="F25" s="133">
        <f t="shared" si="3"/>
        <v>291.28229886546103</v>
      </c>
      <c r="G25" s="167">
        <f t="shared" si="4"/>
      </c>
      <c r="H25" s="21"/>
    </row>
    <row r="26" spans="2:8" ht="12.75">
      <c r="B26" s="137">
        <v>0.7</v>
      </c>
      <c r="C26" s="139">
        <f t="shared" si="0"/>
        <v>81.88661013782811</v>
      </c>
      <c r="D26" s="135">
        <f t="shared" si="1"/>
        <v>81.88661013782811</v>
      </c>
      <c r="E26" s="144">
        <f t="shared" si="2"/>
        <v>473.4069648593184</v>
      </c>
      <c r="F26" s="133">
        <f t="shared" si="3"/>
        <v>473.4069648593184</v>
      </c>
      <c r="G26" s="167">
        <f t="shared" si="4"/>
      </c>
      <c r="H26" s="21"/>
    </row>
    <row r="27" spans="2:8" ht="12.75">
      <c r="B27" s="137">
        <v>0.8</v>
      </c>
      <c r="C27" s="139">
        <f t="shared" si="0"/>
        <v>144.56347978516683</v>
      </c>
      <c r="D27" s="135">
        <f t="shared" si="1"/>
        <v>144.56347978516683</v>
      </c>
      <c r="E27" s="144">
        <f t="shared" si="2"/>
        <v>835.7576175079959</v>
      </c>
      <c r="F27" s="133">
        <f t="shared" si="3"/>
        <v>835.7576175079959</v>
      </c>
      <c r="G27" s="167">
        <f t="shared" si="4"/>
      </c>
      <c r="H27" s="21"/>
    </row>
    <row r="28" spans="2:8" ht="12.75">
      <c r="B28" s="137">
        <v>0.9</v>
      </c>
      <c r="C28" s="139">
        <f t="shared" si="0"/>
        <v>317.9735030823953</v>
      </c>
      <c r="D28" s="135">
        <f t="shared" si="1"/>
        <v>317.9735030823953</v>
      </c>
      <c r="E28" s="144">
        <f t="shared" si="2"/>
        <v>1838.2843146950966</v>
      </c>
      <c r="F28" s="133">
        <f t="shared" si="3"/>
        <v>1838.2843146950966</v>
      </c>
      <c r="G28" s="167">
        <f t="shared" si="4"/>
      </c>
      <c r="H28" s="21"/>
    </row>
    <row r="29" spans="2:8" ht="12.75">
      <c r="B29" s="137">
        <v>0.95</v>
      </c>
      <c r="C29" s="139">
        <f t="shared" si="0"/>
        <v>609.6700836514638</v>
      </c>
      <c r="D29" s="135">
        <f t="shared" si="1"/>
        <v>609.6700836514638</v>
      </c>
      <c r="E29" s="144">
        <f t="shared" si="2"/>
        <v>3524.6551711100215</v>
      </c>
      <c r="F29" s="133">
        <f t="shared" si="3"/>
        <v>3524.6551711100215</v>
      </c>
      <c r="G29" s="167">
        <f t="shared" si="4"/>
      </c>
      <c r="H29" s="21"/>
    </row>
    <row r="30" spans="2:8" ht="12.75">
      <c r="B30" s="138">
        <v>0.99</v>
      </c>
      <c r="C30" s="140">
        <f t="shared" si="0"/>
        <v>2067.285627766248</v>
      </c>
      <c r="D30" s="134">
        <f t="shared" si="1"/>
        <v>2067.285627766248</v>
      </c>
      <c r="E30" s="145">
        <f t="shared" si="2"/>
        <v>11951.495035523623</v>
      </c>
      <c r="F30" s="134">
        <f t="shared" si="3"/>
        <v>11951.495035523623</v>
      </c>
      <c r="G30" s="167">
        <f>IF(D30&gt;820*12,"May be unrealistic",IF(F30&gt;18720*12,"May be unrealistic",""))</f>
      </c>
      <c r="H30" s="21"/>
    </row>
    <row r="31" spans="2:6" ht="12.75">
      <c r="B31" s="175"/>
      <c r="C31" s="176"/>
      <c r="D31" s="177"/>
      <c r="E31" s="178"/>
      <c r="F31" s="177"/>
    </row>
  </sheetData>
  <sheetProtection password="EDCB" sheet="1" objects="1" scenarios="1" selectLockedCells="1"/>
  <mergeCells count="4">
    <mergeCell ref="C18:D18"/>
    <mergeCell ref="E18:F18"/>
    <mergeCell ref="B4:C4"/>
    <mergeCell ref="B5:C5"/>
  </mergeCells>
  <conditionalFormatting sqref="C31">
    <cfRule type="cellIs" priority="1" dxfId="2" operator="greaterThan" stopIfTrue="1">
      <formula>"820*10"</formula>
    </cfRule>
  </conditionalFormatting>
  <conditionalFormatting sqref="D31">
    <cfRule type="cellIs" priority="2" dxfId="2" operator="greaterThan" stopIfTrue="1">
      <formula>820*12</formula>
    </cfRule>
  </conditionalFormatting>
  <conditionalFormatting sqref="F20:F30">
    <cfRule type="cellIs" priority="3" dxfId="0" operator="greaterThan" stopIfTrue="1">
      <formula>18720*12</formula>
    </cfRule>
  </conditionalFormatting>
  <conditionalFormatting sqref="D20:D30">
    <cfRule type="cellIs" priority="4" dxfId="0" operator="greaterThan" stopIfTrue="1">
      <formula>820*12</formula>
    </cfRule>
  </conditionalFormatting>
  <printOptions/>
  <pageMargins left="0.75" right="0.75" top="1" bottom="1" header="0.5" footer="0.5"/>
  <pageSetup horizontalDpi="600" verticalDpi="600" orientation="landscape" paperSize="9" r:id="rId2"/>
  <headerFooter alignWithMargins="0">
    <oddHeader>&amp;L&amp;D&amp;C&amp;F&amp;RPage &amp;P</oddHeader>
    <oddFooter>&amp;L&amp;A</oddFooter>
  </headerFooter>
  <rowBreaks count="1" manualBreakCount="1">
    <brk id="31" max="255" man="1"/>
  </rowBreaks>
  <drawing r:id="rId1"/>
</worksheet>
</file>

<file path=xl/worksheets/sheet12.xml><?xml version="1.0" encoding="utf-8"?>
<worksheet xmlns="http://schemas.openxmlformats.org/spreadsheetml/2006/main" xmlns:r="http://schemas.openxmlformats.org/officeDocument/2006/relationships">
  <sheetPr codeName="Sheet21">
    <pageSetUpPr fitToPage="1"/>
  </sheetPr>
  <dimension ref="A1:R46"/>
  <sheetViews>
    <sheetView showRowColHeaders="0" zoomScalePageLayoutView="0" workbookViewId="0" topLeftCell="A1">
      <selection activeCell="C5" sqref="C5"/>
    </sheetView>
  </sheetViews>
  <sheetFormatPr defaultColWidth="9.140625" defaultRowHeight="12.75"/>
  <cols>
    <col min="1" max="1" width="4.28125" style="1" customWidth="1"/>
    <col min="2" max="2" width="55.57421875" style="0" bestFit="1" customWidth="1"/>
    <col min="3" max="3" width="28.7109375" style="0" bestFit="1" customWidth="1"/>
    <col min="4" max="4" width="31.28125" style="0" customWidth="1"/>
    <col min="5" max="5" width="27.8515625" style="0" customWidth="1"/>
    <col min="6" max="6" width="9.28125" style="32" hidden="1" customWidth="1"/>
    <col min="7" max="9" width="9.140625" style="32" hidden="1" customWidth="1"/>
    <col min="10" max="10" width="10.57421875" style="32" hidden="1" customWidth="1"/>
    <col min="11" max="11" width="9.28125" style="32" hidden="1" customWidth="1"/>
    <col min="12" max="15" width="9.140625" style="32" hidden="1" customWidth="1"/>
  </cols>
  <sheetData>
    <row r="1" spans="2:18" ht="14.25" customHeight="1">
      <c r="B1" s="81" t="s">
        <v>567</v>
      </c>
      <c r="C1" s="22"/>
      <c r="D1" s="274">
        <f>IF(ISBLANK(Name_scenario),"",Name_scenario)</f>
      </c>
      <c r="E1" s="274"/>
      <c r="G1" s="33"/>
      <c r="H1" s="33"/>
      <c r="I1" s="33"/>
      <c r="J1" s="33"/>
      <c r="P1" s="1"/>
      <c r="Q1" s="1"/>
      <c r="R1" s="1"/>
    </row>
    <row r="2" spans="2:18" ht="14.25" customHeight="1">
      <c r="B2" s="46" t="s">
        <v>896</v>
      </c>
      <c r="C2" s="7"/>
      <c r="D2" s="7"/>
      <c r="E2" s="7"/>
      <c r="F2" s="32" t="s">
        <v>522</v>
      </c>
      <c r="G2" s="33"/>
      <c r="H2" s="33"/>
      <c r="I2" s="33"/>
      <c r="J2" s="33"/>
      <c r="P2" s="1"/>
      <c r="Q2" s="1"/>
      <c r="R2" s="1"/>
    </row>
    <row r="3" spans="1:18" ht="12.75">
      <c r="A3" s="2"/>
      <c r="B3" s="4" t="s">
        <v>523</v>
      </c>
      <c r="C3" s="3" t="s">
        <v>524</v>
      </c>
      <c r="D3" s="4"/>
      <c r="E3" s="153" t="s">
        <v>326</v>
      </c>
      <c r="F3" s="34" t="s">
        <v>525</v>
      </c>
      <c r="G3" s="33"/>
      <c r="H3" s="33"/>
      <c r="I3" s="33"/>
      <c r="J3" s="33"/>
      <c r="P3" s="1"/>
      <c r="Q3" s="1"/>
      <c r="R3" s="1"/>
    </row>
    <row r="4" spans="1:18" ht="13.5" thickBot="1">
      <c r="A4" s="6"/>
      <c r="B4" s="7"/>
      <c r="C4" s="7"/>
      <c r="D4" s="7"/>
      <c r="E4" s="154" t="s">
        <v>505</v>
      </c>
      <c r="G4" s="33"/>
      <c r="H4" s="33"/>
      <c r="I4" s="33"/>
      <c r="J4" s="33"/>
      <c r="P4" s="1"/>
      <c r="Q4" s="1"/>
      <c r="R4" s="1"/>
    </row>
    <row r="5" spans="1:18" ht="13.5" thickBot="1">
      <c r="A5" s="6"/>
      <c r="B5" s="7" t="s">
        <v>533</v>
      </c>
      <c r="C5" s="283" t="s">
        <v>704</v>
      </c>
      <c r="D5" s="7"/>
      <c r="E5" s="187"/>
      <c r="F5" s="32">
        <f>IF(C5=Immersion_proximitya,Immersion_proximity1,IF(C5=Immersion_proximityb,Immersion_proximity2,IF(C5=Immersion_proximityc,Immersion_proximity3,)))</f>
        <v>5.41</v>
      </c>
      <c r="G5" s="33" t="str">
        <f>Immersion_proximitya</f>
        <v>Less than 30 cm</v>
      </c>
      <c r="H5" s="33"/>
      <c r="I5" s="33"/>
      <c r="J5" s="33"/>
      <c r="P5" s="1"/>
      <c r="Q5" s="1"/>
      <c r="R5" s="1"/>
    </row>
    <row r="6" spans="1:18" ht="12.75">
      <c r="A6" s="6"/>
      <c r="B6" s="7"/>
      <c r="C6" s="7"/>
      <c r="D6" s="7"/>
      <c r="E6" s="187"/>
      <c r="G6" s="33" t="str">
        <f>Immersion_proximityb</f>
        <v>From 30 cm to 1 meter</v>
      </c>
      <c r="H6" s="33"/>
      <c r="I6" s="33"/>
      <c r="M6" s="32">
        <v>1E-06</v>
      </c>
      <c r="N6" s="35"/>
      <c r="P6" s="1"/>
      <c r="Q6" s="1"/>
      <c r="R6" s="1"/>
    </row>
    <row r="7" spans="1:18" ht="13.5" thickBot="1">
      <c r="A7" s="6"/>
      <c r="B7" s="7"/>
      <c r="C7" s="7"/>
      <c r="D7" s="7"/>
      <c r="E7" s="187"/>
      <c r="G7" s="33" t="str">
        <f>Immersion_proximityc</f>
        <v>More than 1 meter</v>
      </c>
      <c r="H7" s="33"/>
      <c r="I7" s="33"/>
      <c r="M7" s="32">
        <v>1E-06</v>
      </c>
      <c r="N7" s="35"/>
      <c r="P7" s="1"/>
      <c r="Q7" s="1"/>
      <c r="R7" s="1"/>
    </row>
    <row r="8" spans="1:18" ht="13.5" thickBot="1">
      <c r="A8" s="6"/>
      <c r="B8" s="7" t="s">
        <v>569</v>
      </c>
      <c r="C8" s="31" t="s">
        <v>580</v>
      </c>
      <c r="D8" s="7"/>
      <c r="E8" s="187"/>
      <c r="F8" s="32">
        <f>IF(C8=Immersion_ventilationa,Immersion_ventilation1,IF(C8=Immersion_ventilationb,Immersion_ventilation2,))</f>
        <v>0.247</v>
      </c>
      <c r="G8" s="33" t="str">
        <f>Immersion_ventilationa</f>
        <v>Yes</v>
      </c>
      <c r="H8" s="33"/>
      <c r="I8" s="33" t="s">
        <v>785</v>
      </c>
      <c r="J8" s="38">
        <f>Immersion_intercept*Immersion_handeffect*Immersion_proximity*Immersion_ventilation</f>
        <v>10.3160044</v>
      </c>
      <c r="K8" s="32">
        <f>MATCH(Immersion_medianratehands,Digitfind,1)</f>
        <v>9</v>
      </c>
      <c r="L8" s="32" t="s">
        <v>786</v>
      </c>
      <c r="M8" s="32">
        <v>1E-05</v>
      </c>
      <c r="N8" s="37">
        <f>IF(Immersion_digitmedianratehands&lt;=9,ROUND(Immersion_medianratehands,(11-Immersion_digitmedianratehands-1)),IF(Immersion_digitmedianratehands&gt;9,ROUND(Immersion_medianratehands,-(Immersion_digitmedianratehands-10))))</f>
        <v>10.3</v>
      </c>
      <c r="O8" s="32" t="s">
        <v>787</v>
      </c>
      <c r="P8" s="1"/>
      <c r="Q8" s="1"/>
      <c r="R8" s="1"/>
    </row>
    <row r="9" spans="1:18" ht="13.5" thickBot="1">
      <c r="A9" s="6"/>
      <c r="B9" s="7"/>
      <c r="C9" s="7"/>
      <c r="D9" s="7"/>
      <c r="E9" s="187"/>
      <c r="G9" s="33" t="str">
        <f>Immersion_ventilationb</f>
        <v>No</v>
      </c>
      <c r="H9" s="33"/>
      <c r="I9" s="33" t="s">
        <v>788</v>
      </c>
      <c r="J9" s="38">
        <f>Immersion_intercept*Immersion_bodyeffect*Immersion_proximity*Immersion_ventilation</f>
        <v>1.392660594</v>
      </c>
      <c r="K9" s="32">
        <f>MATCH(Immersion_medianratebody,Digitfind,1)</f>
        <v>8</v>
      </c>
      <c r="L9" s="32" t="s">
        <v>789</v>
      </c>
      <c r="M9" s="32">
        <v>0.0001</v>
      </c>
      <c r="N9" s="37">
        <f>IF(Immersion_digitmedianratebody&lt;=9,ROUND(Immersion_medianratebody,(11-Immersion_digitmedianratebody-1)),IF(Immersion_digitmedianratebody&gt;9,ROUND(Immersion_medianratebody,-(Immersion_digitmedianratebody-10))))</f>
        <v>1.39</v>
      </c>
      <c r="O9" s="32" t="s">
        <v>790</v>
      </c>
      <c r="P9" s="1"/>
      <c r="Q9" s="1"/>
      <c r="R9" s="1"/>
    </row>
    <row r="10" spans="1:18" ht="13.5" thickBot="1">
      <c r="A10" s="6"/>
      <c r="B10" s="7" t="s">
        <v>526</v>
      </c>
      <c r="C10" s="57">
        <v>0.9</v>
      </c>
      <c r="D10" s="7" t="s">
        <v>527</v>
      </c>
      <c r="E10" s="187"/>
      <c r="F10" s="32">
        <f>Immersion_bodyeffect</f>
        <v>0.135</v>
      </c>
      <c r="G10" s="33" t="s">
        <v>595</v>
      </c>
      <c r="H10" s="33"/>
      <c r="I10" s="33" t="s">
        <v>791</v>
      </c>
      <c r="J10" s="38">
        <f>LOGINV(Immersion_percentile,LN(Immersion_medianratehands),LN(Immersion_GSDhands))</f>
        <v>953.7731153222826</v>
      </c>
      <c r="K10" s="32">
        <f>MATCH(Immersion_percentileratehands,Digitfind,1)</f>
        <v>10</v>
      </c>
      <c r="L10" s="32" t="s">
        <v>792</v>
      </c>
      <c r="M10" s="32">
        <v>0.001</v>
      </c>
      <c r="N10" s="37">
        <f>IF(Immersion_digitpercentileratehands&lt;=9,ROUND(Immersion_percentileratehands,(11-Immersion_digitpercentileratehands-1)),IF(Immersion_digitpercentileratehands&gt;9,ROUND(Immersion_percentileratehands,-(Immersion_digitpercentileratehands-10))))</f>
        <v>954</v>
      </c>
      <c r="O10" s="32" t="s">
        <v>793</v>
      </c>
      <c r="P10" s="1"/>
      <c r="Q10" s="1"/>
      <c r="R10" s="1"/>
    </row>
    <row r="11" spans="1:18" ht="13.5" thickBot="1">
      <c r="A11" s="6"/>
      <c r="B11" s="7"/>
      <c r="C11" s="9"/>
      <c r="D11" s="7"/>
      <c r="E11" s="187"/>
      <c r="F11" s="32">
        <f>Immersion_handeffect</f>
        <v>1</v>
      </c>
      <c r="G11" s="33" t="s">
        <v>596</v>
      </c>
      <c r="H11" s="33"/>
      <c r="I11" s="33" t="s">
        <v>794</v>
      </c>
      <c r="J11" s="38">
        <f>LOGINV(Immersion_percentile,LN(Immersion_medianratebody),LN(Immersion_GSDbody))</f>
        <v>24.601342736167478</v>
      </c>
      <c r="K11" s="32">
        <f>MATCH(Immersion_percentileratebody,Digitfind,1)</f>
        <v>9</v>
      </c>
      <c r="L11" s="32" t="s">
        <v>795</v>
      </c>
      <c r="M11" s="32">
        <v>0.01</v>
      </c>
      <c r="N11" s="37">
        <f>IF(Immersion_digitpercentileratebody&lt;=9,ROUND(Immersion_percentileratebody,(11-Immersion_digitpercentileratebody-1)),IF(Immersion_digitpercentileratebody&gt;9,ROUND(Immersion_percentileratebody,-(Immersion_digitpercentileratebody-10))))</f>
        <v>24.6</v>
      </c>
      <c r="O11" s="32" t="s">
        <v>796</v>
      </c>
      <c r="P11" s="1"/>
      <c r="Q11" s="1"/>
      <c r="R11" s="1"/>
    </row>
    <row r="12" spans="1:18" ht="16.5" customHeight="1" thickBot="1">
      <c r="A12" s="6"/>
      <c r="B12" s="7"/>
      <c r="C12" s="10" t="s">
        <v>528</v>
      </c>
      <c r="D12" s="11" t="s">
        <v>529</v>
      </c>
      <c r="E12" s="155"/>
      <c r="G12" s="33"/>
      <c r="H12" s="33"/>
      <c r="I12" s="33"/>
      <c r="M12" s="32">
        <v>0.1</v>
      </c>
      <c r="P12" s="1"/>
      <c r="Q12" s="1"/>
      <c r="R12" s="1"/>
    </row>
    <row r="13" spans="1:18" ht="12.75">
      <c r="A13" s="23"/>
      <c r="B13" s="82" t="s">
        <v>576</v>
      </c>
      <c r="C13" s="16">
        <f>Immersion_medianhandsraterounded</f>
        <v>10.3</v>
      </c>
      <c r="D13" s="16">
        <f>Immersion_percentilehandsraterounded</f>
        <v>954</v>
      </c>
      <c r="E13" s="88" t="s">
        <v>538</v>
      </c>
      <c r="F13" s="32">
        <f>Immersion_intercept</f>
        <v>7.72</v>
      </c>
      <c r="G13" s="33" t="s">
        <v>307</v>
      </c>
      <c r="H13" s="33"/>
      <c r="I13" s="33" t="s">
        <v>797</v>
      </c>
      <c r="J13" s="38">
        <f>Immersion_medianratehands*Immersion_cumulativeduration</f>
        <v>10.3160044</v>
      </c>
      <c r="K13" s="32">
        <f>MATCH(Immersion_medianloadinghands,Digitfind,1)</f>
        <v>9</v>
      </c>
      <c r="L13" s="32" t="s">
        <v>798</v>
      </c>
      <c r="M13" s="32">
        <v>1</v>
      </c>
      <c r="N13" s="37">
        <f>IF(Immersion_digitmedianloadinghands&lt;=9,ROUND(Immersion_medianloadinghands,(11-Immersion_digitmedianloadinghands-1)),IF(Immersion_digitmedianloadinghands&gt;9,ROUND(Immersion_medianloadinghands,-(Immersion_digitmedianloadinghands-10))))</f>
        <v>10.3</v>
      </c>
      <c r="O13" s="32" t="s">
        <v>799</v>
      </c>
      <c r="P13" s="1"/>
      <c r="Q13" s="1"/>
      <c r="R13" s="1"/>
    </row>
    <row r="14" spans="1:18" ht="13.5" thickBot="1">
      <c r="A14" s="25"/>
      <c r="B14" s="83" t="s">
        <v>577</v>
      </c>
      <c r="C14" s="17">
        <f>Immersion_medianbodyraterounded</f>
        <v>1.39</v>
      </c>
      <c r="D14" s="17">
        <f>Immersion_percentilebodyraterounded</f>
        <v>24.6</v>
      </c>
      <c r="E14" s="89" t="s">
        <v>538</v>
      </c>
      <c r="G14" s="33"/>
      <c r="H14" s="33"/>
      <c r="I14" s="33" t="s">
        <v>800</v>
      </c>
      <c r="J14" s="38">
        <f>Immersion_medianratebody*Immersion_cumulativeduration</f>
        <v>1.392660594</v>
      </c>
      <c r="K14" s="32">
        <f>MATCH(Immersion_medianloadingbody,Digitfind,1)</f>
        <v>8</v>
      </c>
      <c r="L14" s="32" t="s">
        <v>801</v>
      </c>
      <c r="M14" s="32">
        <v>10</v>
      </c>
      <c r="N14" s="37">
        <f>IF(Immersion_digitmedianloadingbody&lt;=9,ROUND(Immersion_medianloadingbody,(11-Immersion_digitmedianloadingbody-1)),IF(Immersion_digitmedianloadingbody&gt;9,ROUND(Immersion_medianloadingbody,-(Immersion_digitmedianloadingbody-10))))</f>
        <v>1.39</v>
      </c>
      <c r="O14" s="32" t="s">
        <v>802</v>
      </c>
      <c r="P14" s="1"/>
      <c r="Q14" s="1"/>
      <c r="R14" s="1"/>
    </row>
    <row r="15" spans="1:18" ht="13.5" thickBot="1">
      <c r="A15" s="6"/>
      <c r="B15" s="7"/>
      <c r="C15" s="7"/>
      <c r="D15" s="7"/>
      <c r="E15" s="187"/>
      <c r="F15" s="32">
        <f>Immersion_GSDbody</f>
        <v>9.4</v>
      </c>
      <c r="G15" s="33" t="s">
        <v>309</v>
      </c>
      <c r="H15" s="33"/>
      <c r="I15" s="33" t="s">
        <v>803</v>
      </c>
      <c r="J15" s="38">
        <f>LOGINV(Immersion_percentile,LN(Immersion_medianloadinghands),LN(Immersion_GSDhands))</f>
        <v>953.7731153222826</v>
      </c>
      <c r="K15" s="32">
        <f>MATCH(Immersion_percentileloadinghands,Digitfind,1)</f>
        <v>10</v>
      </c>
      <c r="L15" s="32" t="s">
        <v>804</v>
      </c>
      <c r="M15" s="32">
        <v>100</v>
      </c>
      <c r="N15" s="37">
        <f>IF(Immersion_digitpercentileloadinghands&lt;=9,ROUND(Immersion_percentileloadinghands,(11-Immersion_digitpercentileloadinghands-1)),IF(Immersion_digitpercentileloadinghands&gt;9,ROUND(Immersion_percentileloadinghands,-(Immersion_digitpercentileloadinghands-10))))</f>
        <v>954</v>
      </c>
      <c r="O15" s="32" t="s">
        <v>805</v>
      </c>
      <c r="P15" s="1"/>
      <c r="Q15" s="1"/>
      <c r="R15" s="1"/>
    </row>
    <row r="16" spans="1:18" ht="13.5" thickBot="1">
      <c r="A16" s="6"/>
      <c r="B16" s="7" t="s">
        <v>530</v>
      </c>
      <c r="C16" s="186">
        <v>1</v>
      </c>
      <c r="D16" s="7" t="s">
        <v>531</v>
      </c>
      <c r="E16" s="187" t="s">
        <v>597</v>
      </c>
      <c r="F16" s="32">
        <f>Immersion_GSDhands</f>
        <v>34.2</v>
      </c>
      <c r="G16" s="33" t="s">
        <v>308</v>
      </c>
      <c r="H16" s="33"/>
      <c r="I16" s="33" t="s">
        <v>806</v>
      </c>
      <c r="J16" s="38">
        <f>LOGINV(Immersion_percentile,LN(Immersion_medianloadingbody),LN(Immersion_GSDbody))</f>
        <v>24.601342736167478</v>
      </c>
      <c r="K16" s="32">
        <f>MATCH(Immersion_percentileloadingbody,Digitfind,1)</f>
        <v>9</v>
      </c>
      <c r="L16" s="32" t="s">
        <v>807</v>
      </c>
      <c r="M16" s="32">
        <v>1000</v>
      </c>
      <c r="N16" s="37">
        <f>IF(Immersion_digitpercentileloadingbody&lt;=9,ROUND(Immersion_percentileloadingbody,(11-Immersion_digitpercentileloadingbody-1)),IF(Immersion_digitpercentileloadingbody&gt;9,ROUND(Immersion_percentileloadingbody,-(Immersion_digitpercentileloadingbody-10))))</f>
        <v>24.6</v>
      </c>
      <c r="O16" s="32" t="s">
        <v>808</v>
      </c>
      <c r="P16" s="1"/>
      <c r="Q16" s="1"/>
      <c r="R16" s="1"/>
    </row>
    <row r="17" spans="1:18" ht="12.75">
      <c r="A17" s="6"/>
      <c r="B17" s="7"/>
      <c r="C17" s="208">
        <f>IF(Immersion_cumulativeduration&gt;483,"Model was based on values up to 483 minutes!","")</f>
      </c>
      <c r="D17" s="7"/>
      <c r="E17" s="187"/>
      <c r="G17" s="33"/>
      <c r="H17" s="33"/>
      <c r="I17" s="33"/>
      <c r="J17" s="38"/>
      <c r="N17" s="37"/>
      <c r="P17" s="1"/>
      <c r="Q17" s="1"/>
      <c r="R17" s="1"/>
    </row>
    <row r="18" spans="1:18" ht="13.5" thickBot="1">
      <c r="A18" s="6"/>
      <c r="B18" s="7"/>
      <c r="C18" s="104"/>
      <c r="D18" s="7"/>
      <c r="E18" s="187"/>
      <c r="G18" s="33"/>
      <c r="H18" s="33"/>
      <c r="I18" s="33"/>
      <c r="M18" s="32">
        <v>10000</v>
      </c>
      <c r="N18" s="35"/>
      <c r="P18" s="1"/>
      <c r="Q18" s="1"/>
      <c r="R18" s="1"/>
    </row>
    <row r="19" spans="1:18" ht="17.25" customHeight="1" thickBot="1">
      <c r="A19" s="14"/>
      <c r="B19" s="91"/>
      <c r="C19" s="10" t="s">
        <v>528</v>
      </c>
      <c r="D19" s="11" t="s">
        <v>529</v>
      </c>
      <c r="E19" s="155"/>
      <c r="G19" s="33"/>
      <c r="H19" s="33"/>
      <c r="I19" s="33"/>
      <c r="M19" s="32">
        <v>100000</v>
      </c>
      <c r="N19" s="35"/>
      <c r="P19" s="1"/>
      <c r="Q19" s="1"/>
      <c r="R19" s="1"/>
    </row>
    <row r="20" spans="1:18" ht="12.75">
      <c r="A20" s="27"/>
      <c r="B20" s="85" t="s">
        <v>566</v>
      </c>
      <c r="C20" s="16">
        <f>Immersion_medianhandsloadingrounded</f>
        <v>10.3</v>
      </c>
      <c r="D20" s="16">
        <f>Immersion_percentilehandsloadingrounded</f>
        <v>954</v>
      </c>
      <c r="E20" s="88" t="s">
        <v>570</v>
      </c>
      <c r="G20" s="33"/>
      <c r="H20" s="33"/>
      <c r="I20" s="33"/>
      <c r="M20" s="32">
        <v>1000000</v>
      </c>
      <c r="N20" s="35"/>
      <c r="P20" s="1"/>
      <c r="Q20" s="1"/>
      <c r="R20" s="1"/>
    </row>
    <row r="21" spans="1:18" ht="13.5" thickBot="1">
      <c r="A21" s="28"/>
      <c r="B21" s="86" t="s">
        <v>532</v>
      </c>
      <c r="C21" s="17">
        <f>Immersion_medianbodyloadingrounded</f>
        <v>1.39</v>
      </c>
      <c r="D21" s="17">
        <f>Immersion_percentilebodyloadingrounded</f>
        <v>24.6</v>
      </c>
      <c r="E21" s="89" t="s">
        <v>570</v>
      </c>
      <c r="G21" s="33"/>
      <c r="H21" s="33"/>
      <c r="P21" s="1"/>
      <c r="Q21" s="1"/>
      <c r="R21" s="1"/>
    </row>
    <row r="22" spans="2:18" ht="12.75">
      <c r="B22" s="205" t="s">
        <v>168</v>
      </c>
      <c r="C22" s="7"/>
      <c r="D22" s="7"/>
      <c r="E22" s="7"/>
      <c r="G22" s="33"/>
      <c r="H22" s="33"/>
      <c r="I22" s="33"/>
      <c r="J22" s="33"/>
      <c r="P22" s="1"/>
      <c r="Q22" s="1"/>
      <c r="R22" s="1"/>
    </row>
    <row r="23" spans="2:18" ht="12.75">
      <c r="B23" s="7"/>
      <c r="C23" s="7"/>
      <c r="D23" s="7"/>
      <c r="E23" s="7"/>
      <c r="P23" s="1"/>
      <c r="Q23" s="1"/>
      <c r="R23" s="1"/>
    </row>
    <row r="24" spans="2:18" ht="12.75">
      <c r="B24" s="87">
        <f>IF(C20/820&gt;12,"The median exposure loading per shift for hands is higher than what is considered reasonable. Use this result with caution!","")</f>
      </c>
      <c r="C24" s="7"/>
      <c r="D24" s="7"/>
      <c r="E24" s="7"/>
      <c r="P24" s="1"/>
      <c r="Q24" s="1"/>
      <c r="R24" s="1"/>
    </row>
    <row r="25" spans="2:18" ht="12.75">
      <c r="B25" s="87">
        <f>IF(C21/18720&gt;12,"The median exposure loading per shift for body is higher than what is considered reasonable. Use this result with caution!","")</f>
      </c>
      <c r="C25" s="7"/>
      <c r="D25" s="7"/>
      <c r="E25" s="7"/>
      <c r="P25" s="1"/>
      <c r="Q25" s="1"/>
      <c r="R25" s="1"/>
    </row>
    <row r="26" spans="2:18" ht="12.75">
      <c r="B26" s="87">
        <f>IF(D20/820&gt;12,"The 'percentile distribution' exposure loading per shift for hands is higher than what is considered reasonable. Use this result with caution!","")</f>
      </c>
      <c r="C26" s="7"/>
      <c r="D26" s="7"/>
      <c r="E26" s="7"/>
      <c r="P26" s="1"/>
      <c r="Q26" s="1"/>
      <c r="R26" s="1"/>
    </row>
    <row r="27" spans="2:18" ht="12.75">
      <c r="B27" s="87">
        <f>IF(D21/18720&gt;12,"The 'percentile distribution' exposure loading per shift for body is higher than what is considered reasonable. Use this result with caution!","")</f>
      </c>
      <c r="C27" s="7"/>
      <c r="D27" s="7"/>
      <c r="E27" s="7"/>
      <c r="P27" s="1"/>
      <c r="Q27" s="1"/>
      <c r="R27" s="1"/>
    </row>
    <row r="28" spans="2:18" ht="12.75">
      <c r="B28" s="7"/>
      <c r="C28" s="7"/>
      <c r="D28" s="7"/>
      <c r="E28" s="7"/>
      <c r="P28" s="1"/>
      <c r="Q28" s="1"/>
      <c r="R28" s="1"/>
    </row>
    <row r="29" spans="2:18" ht="12.75">
      <c r="B29" s="7"/>
      <c r="C29" s="7"/>
      <c r="D29" s="7"/>
      <c r="E29" s="7"/>
      <c r="P29" s="1"/>
      <c r="Q29" s="1"/>
      <c r="R29" s="1"/>
    </row>
    <row r="30" spans="2:18" ht="12.75">
      <c r="B30" s="7"/>
      <c r="C30" s="7"/>
      <c r="D30" s="7"/>
      <c r="E30" s="7"/>
      <c r="P30" s="1"/>
      <c r="Q30" s="1"/>
      <c r="R30" s="1"/>
    </row>
    <row r="31" spans="2:18" ht="12.75">
      <c r="B31" s="7"/>
      <c r="C31" s="7"/>
      <c r="D31" s="7"/>
      <c r="E31" s="7"/>
      <c r="P31" s="1"/>
      <c r="Q31" s="1"/>
      <c r="R31" s="1"/>
    </row>
    <row r="32" spans="2:18" ht="12.75">
      <c r="B32" s="7"/>
      <c r="C32" s="7"/>
      <c r="D32" s="7"/>
      <c r="E32" s="7"/>
      <c r="P32" s="1"/>
      <c r="Q32" s="1"/>
      <c r="R32" s="1"/>
    </row>
    <row r="33" spans="2:18" ht="12.75">
      <c r="B33" s="1"/>
      <c r="C33" s="1"/>
      <c r="D33" s="1"/>
      <c r="E33" s="1"/>
      <c r="P33" s="1"/>
      <c r="Q33" s="1"/>
      <c r="R33" s="1"/>
    </row>
    <row r="34" spans="2:18" ht="12.75">
      <c r="B34" s="1"/>
      <c r="C34" s="1"/>
      <c r="D34" s="1"/>
      <c r="E34" s="1"/>
      <c r="P34" s="1"/>
      <c r="Q34" s="1"/>
      <c r="R34" s="1"/>
    </row>
    <row r="35" spans="6:15" s="1" customFormat="1" ht="12.75">
      <c r="F35" s="33"/>
      <c r="G35" s="33"/>
      <c r="H35" s="33"/>
      <c r="I35" s="33"/>
      <c r="J35" s="33"/>
      <c r="K35" s="33"/>
      <c r="L35" s="33"/>
      <c r="M35" s="33"/>
      <c r="N35" s="33"/>
      <c r="O35" s="33"/>
    </row>
    <row r="36" spans="6:15" s="1" customFormat="1" ht="12.75">
      <c r="F36" s="33"/>
      <c r="G36" s="33"/>
      <c r="H36" s="33"/>
      <c r="I36" s="33"/>
      <c r="J36" s="33"/>
      <c r="K36" s="33"/>
      <c r="L36" s="33"/>
      <c r="M36" s="33"/>
      <c r="N36" s="33"/>
      <c r="O36" s="33"/>
    </row>
    <row r="37" spans="6:15" s="1" customFormat="1" ht="12.75">
      <c r="F37" s="33"/>
      <c r="G37" s="33"/>
      <c r="H37" s="33"/>
      <c r="I37" s="33"/>
      <c r="J37" s="33"/>
      <c r="K37" s="33"/>
      <c r="L37" s="33"/>
      <c r="M37" s="33"/>
      <c r="N37" s="33"/>
      <c r="O37" s="33"/>
    </row>
    <row r="38" spans="6:15" s="1" customFormat="1" ht="12.75">
      <c r="F38" s="33"/>
      <c r="G38" s="33"/>
      <c r="H38" s="33"/>
      <c r="I38" s="33"/>
      <c r="J38" s="33"/>
      <c r="K38" s="33"/>
      <c r="L38" s="33"/>
      <c r="M38" s="33"/>
      <c r="N38" s="33"/>
      <c r="O38" s="33"/>
    </row>
    <row r="39" spans="6:15" s="1" customFormat="1" ht="12.75">
      <c r="F39" s="33"/>
      <c r="G39" s="33"/>
      <c r="H39" s="33"/>
      <c r="I39" s="33"/>
      <c r="J39" s="33"/>
      <c r="K39" s="33"/>
      <c r="L39" s="33"/>
      <c r="M39" s="33"/>
      <c r="N39" s="33"/>
      <c r="O39" s="33"/>
    </row>
    <row r="40" spans="6:15" s="1" customFormat="1" ht="12.75">
      <c r="F40" s="33"/>
      <c r="G40" s="33"/>
      <c r="H40" s="33"/>
      <c r="I40" s="33"/>
      <c r="J40" s="33"/>
      <c r="K40" s="33"/>
      <c r="L40" s="33"/>
      <c r="M40" s="33"/>
      <c r="N40" s="33"/>
      <c r="O40" s="33"/>
    </row>
    <row r="41" spans="2:18" ht="12.75">
      <c r="B41" s="1"/>
      <c r="C41" s="1"/>
      <c r="D41" s="1"/>
      <c r="E41" s="1"/>
      <c r="P41" s="1"/>
      <c r="Q41" s="1"/>
      <c r="R41" s="1"/>
    </row>
    <row r="42" spans="2:18" ht="12.75">
      <c r="B42" s="1"/>
      <c r="C42" s="1"/>
      <c r="D42" s="1"/>
      <c r="E42" s="1"/>
      <c r="P42" s="1"/>
      <c r="Q42" s="1"/>
      <c r="R42" s="1"/>
    </row>
    <row r="43" spans="2:18" ht="12.75">
      <c r="B43" s="1"/>
      <c r="C43" s="1"/>
      <c r="D43" s="1"/>
      <c r="E43" s="1"/>
      <c r="P43" s="1"/>
      <c r="Q43" s="1"/>
      <c r="R43" s="1"/>
    </row>
    <row r="44" spans="2:18" ht="12.75">
      <c r="B44" s="1"/>
      <c r="C44" s="1"/>
      <c r="D44" s="1"/>
      <c r="E44" s="1"/>
      <c r="P44" s="1"/>
      <c r="Q44" s="1"/>
      <c r="R44" s="1"/>
    </row>
    <row r="45" spans="2:18" ht="12.75">
      <c r="B45" s="1"/>
      <c r="C45" s="1"/>
      <c r="D45" s="1"/>
      <c r="E45" s="1"/>
      <c r="P45" s="1"/>
      <c r="Q45" s="1"/>
      <c r="R45" s="1"/>
    </row>
    <row r="46" spans="2:18" ht="12.75">
      <c r="B46" s="1"/>
      <c r="C46" s="1"/>
      <c r="D46" s="1"/>
      <c r="E46" s="1"/>
      <c r="P46" s="1"/>
      <c r="Q46" s="1"/>
      <c r="R46" s="1"/>
    </row>
  </sheetData>
  <sheetProtection password="EDCB" sheet="1" objects="1" scenarios="1" selectLockedCells="1"/>
  <dataValidations count="4">
    <dataValidation type="decimal" allowBlank="1" showInputMessage="1" showErrorMessage="1" prompt="Give the percentile of the outcome distribution that you want to assess" error="The value most be between 0 and 100" sqref="C10:C11">
      <formula1>0</formula1>
      <formula2>100</formula2>
    </dataValidation>
    <dataValidation type="whole" allowBlank="1" showInputMessage="1" showErrorMessage="1" prompt="Give the cumulative duration of spraying per shift in minutes; maximum = 540 minutes" error="You can only enter a value between 0 and 540" sqref="C16 C18">
      <formula1>0</formula1>
      <formula2>540</formula2>
    </dataValidation>
    <dataValidation type="list" allowBlank="1" showInputMessage="1" showErrorMessage="1" prompt="Select &quot;Yes&quot;if adequate local exhaust ventilation is used; otherwise select &quot;No" error="You can only select &quot;Yes&quot;or &quot;No" sqref="C8">
      <formula1>$G$8:$G$9</formula1>
    </dataValidation>
    <dataValidation type="list" allowBlank="1" showInputMessage="1" showErrorMessage="1" prompt="Select the most approriate option from the list" error="You can only select an option from the list" sqref="C5">
      <formula1>$G$5:$G$7</formula1>
    </dataValidation>
  </dataValidations>
  <printOptions/>
  <pageMargins left="0.75" right="0.75" top="1" bottom="1" header="0.5" footer="0.5"/>
  <pageSetup fitToHeight="1" fitToWidth="1" horizontalDpi="600" verticalDpi="600" orientation="landscape" paperSize="9" scale="74" r:id="rId4"/>
  <headerFooter alignWithMargins="0">
    <oddHeader>&amp;CDEO unit 5&amp;R&amp;D</oddHeader>
    <oddFooter>&amp;LRISKOFDERM Potential dermal exposure model; version 1.0; December 2003</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22"/>
  <dimension ref="A1:H25"/>
  <sheetViews>
    <sheetView showRowColHeaders="0" zoomScalePageLayoutView="0" workbookViewId="0" topLeftCell="A1">
      <selection activeCell="A1" sqref="A1"/>
    </sheetView>
  </sheetViews>
  <sheetFormatPr defaultColWidth="9.140625" defaultRowHeight="12.75"/>
  <cols>
    <col min="1" max="1" width="2.28125" style="0" customWidth="1"/>
    <col min="2" max="2" width="20.7109375" style="0" customWidth="1"/>
    <col min="3" max="3" width="20.8515625" style="0" customWidth="1"/>
    <col min="4" max="4" width="25.140625" style="0" customWidth="1"/>
    <col min="5" max="5" width="18.57421875" style="0" customWidth="1"/>
    <col min="6" max="6" width="17.7109375" style="0" customWidth="1"/>
  </cols>
  <sheetData>
    <row r="1" spans="1:5" ht="12.75">
      <c r="A1" s="251"/>
      <c r="B1" s="127" t="s">
        <v>368</v>
      </c>
      <c r="C1" s="270">
        <f>IF(ISBLANK(Name_scenario),"",Name_scenario)</f>
      </c>
      <c r="D1" s="274"/>
      <c r="E1" s="41" t="s">
        <v>371</v>
      </c>
    </row>
    <row r="2" spans="2:4" ht="8.25" customHeight="1">
      <c r="B2" s="20"/>
      <c r="C2" s="21"/>
      <c r="D2" s="128"/>
    </row>
    <row r="3" spans="2:4" ht="12.75">
      <c r="B3" s="354" t="s">
        <v>533</v>
      </c>
      <c r="C3" s="341"/>
      <c r="D3" s="129" t="str">
        <f>Immersion!C5</f>
        <v>Less than 30 cm</v>
      </c>
    </row>
    <row r="4" spans="2:4" ht="28.5" customHeight="1">
      <c r="B4" s="344" t="s">
        <v>569</v>
      </c>
      <c r="C4" s="345"/>
      <c r="D4" s="129" t="str">
        <f>Immersion!C8</f>
        <v>Yes</v>
      </c>
    </row>
    <row r="5" spans="2:5" ht="12.75">
      <c r="B5" s="125" t="s">
        <v>372</v>
      </c>
      <c r="C5" s="126"/>
      <c r="D5" s="130">
        <f>Immersion_cumulativeduration</f>
        <v>1</v>
      </c>
      <c r="E5" s="194">
        <f>Immersion!C17</f>
      </c>
    </row>
    <row r="6" spans="2:5" ht="12.75">
      <c r="B6" s="21"/>
      <c r="C6" s="21"/>
      <c r="D6" s="168"/>
      <c r="E6" s="122"/>
    </row>
    <row r="7" spans="2:5" ht="12.75">
      <c r="B7" s="192"/>
      <c r="C7" s="21"/>
      <c r="D7" s="168"/>
      <c r="E7" s="122"/>
    </row>
    <row r="8" ht="12.75">
      <c r="B8" s="123"/>
    </row>
    <row r="9" spans="2:7" ht="12.75">
      <c r="B9" s="280" t="s">
        <v>168</v>
      </c>
      <c r="C9" s="279"/>
      <c r="D9" s="178"/>
      <c r="E9" s="21"/>
      <c r="F9" s="21"/>
      <c r="G9" s="21"/>
    </row>
    <row r="10" spans="2:7" ht="12.75">
      <c r="B10" s="178"/>
      <c r="C10" s="279"/>
      <c r="D10" s="178"/>
      <c r="E10" s="21"/>
      <c r="F10" s="21"/>
      <c r="G10" s="21"/>
    </row>
    <row r="12" spans="2:6" ht="14.25">
      <c r="B12" s="124" t="s">
        <v>373</v>
      </c>
      <c r="C12" s="342" t="s">
        <v>331</v>
      </c>
      <c r="D12" s="343"/>
      <c r="E12" s="342" t="s">
        <v>332</v>
      </c>
      <c r="F12" s="343"/>
    </row>
    <row r="13" spans="2:6" ht="12.75">
      <c r="B13" s="131"/>
      <c r="C13" s="296" t="s">
        <v>346</v>
      </c>
      <c r="D13" s="297" t="s">
        <v>352</v>
      </c>
      <c r="E13" s="296" t="s">
        <v>347</v>
      </c>
      <c r="F13" s="304" t="s">
        <v>353</v>
      </c>
    </row>
    <row r="14" spans="2:7" ht="12.75">
      <c r="B14" s="137">
        <v>0.1</v>
      </c>
      <c r="C14" s="139">
        <f aca="true" t="shared" si="0" ref="C14:C24">LOGINV(B14,LN(Immersion_medianhandsraterounded),LN(Immersion_GSDhands))</f>
        <v>0.11140473935889471</v>
      </c>
      <c r="D14" s="135">
        <f aca="true" t="shared" si="1" ref="D14:D24">C14*Immersion_cumulativeduration</f>
        <v>0.11140473935889471</v>
      </c>
      <c r="E14" s="143">
        <f aca="true" t="shared" si="2" ref="E14:E24">LOGINV(B14,LN(Immersion_medianbodyraterounded),LN(Immersion_GSDbody))</f>
        <v>0.07868668984535142</v>
      </c>
      <c r="F14" s="132">
        <f aca="true" t="shared" si="3" ref="F14:F24">E14*Immersion_cumulativeduration</f>
        <v>0.07868668984535142</v>
      </c>
      <c r="G14" s="167">
        <f aca="true" t="shared" si="4" ref="G14:G24">IF(D14&gt;820*12,"May be unrealistic",IF(F14&gt;18720*12,"May be unrealistic",""))</f>
      </c>
    </row>
    <row r="15" spans="2:8" ht="12.75">
      <c r="B15" s="137">
        <v>0.2</v>
      </c>
      <c r="C15" s="139">
        <f t="shared" si="0"/>
        <v>0.5269486315225954</v>
      </c>
      <c r="D15" s="135">
        <f t="shared" si="1"/>
        <v>0.5269486315225954</v>
      </c>
      <c r="E15" s="144">
        <f t="shared" si="2"/>
        <v>0.21086754200850816</v>
      </c>
      <c r="F15" s="133">
        <f t="shared" si="3"/>
        <v>0.21086754200850816</v>
      </c>
      <c r="G15" s="167">
        <f t="shared" si="4"/>
      </c>
      <c r="H15" s="21"/>
    </row>
    <row r="16" spans="2:8" ht="12.75">
      <c r="B16" s="137">
        <v>0.3</v>
      </c>
      <c r="C16" s="139">
        <f t="shared" si="0"/>
        <v>1.615820628116464</v>
      </c>
      <c r="D16" s="135">
        <f t="shared" si="1"/>
        <v>1.615820628116464</v>
      </c>
      <c r="E16" s="144">
        <f t="shared" si="2"/>
        <v>0.4292458004364126</v>
      </c>
      <c r="F16" s="133">
        <f t="shared" si="3"/>
        <v>0.4292458004364126</v>
      </c>
      <c r="G16" s="167">
        <f t="shared" si="4"/>
      </c>
      <c r="H16" s="21"/>
    </row>
    <row r="17" spans="2:8" ht="12.75">
      <c r="B17" s="137">
        <v>0.4</v>
      </c>
      <c r="C17" s="139">
        <f t="shared" si="0"/>
        <v>4.209166978131857</v>
      </c>
      <c r="D17" s="135">
        <f t="shared" si="1"/>
        <v>4.209166978131857</v>
      </c>
      <c r="E17" s="144">
        <f t="shared" si="2"/>
        <v>0.7879083038216945</v>
      </c>
      <c r="F17" s="133">
        <f t="shared" si="3"/>
        <v>0.7879083038216945</v>
      </c>
      <c r="G17" s="167">
        <f t="shared" si="4"/>
      </c>
      <c r="H17" s="21"/>
    </row>
    <row r="18" spans="2:8" ht="12.75">
      <c r="B18" s="137">
        <v>0.5</v>
      </c>
      <c r="C18" s="139">
        <f t="shared" si="0"/>
        <v>10.299999999999999</v>
      </c>
      <c r="D18" s="135">
        <f t="shared" si="1"/>
        <v>10.299999999999999</v>
      </c>
      <c r="E18" s="144">
        <f t="shared" si="2"/>
        <v>1.39</v>
      </c>
      <c r="F18" s="133">
        <f t="shared" si="3"/>
        <v>1.39</v>
      </c>
      <c r="G18" s="167">
        <f t="shared" si="4"/>
      </c>
      <c r="H18" s="21"/>
    </row>
    <row r="19" spans="2:8" ht="12.75">
      <c r="B19" s="137">
        <v>0.6</v>
      </c>
      <c r="C19" s="139">
        <f t="shared" si="0"/>
        <v>25.204512092576948</v>
      </c>
      <c r="D19" s="135">
        <f t="shared" si="1"/>
        <v>25.204512092576948</v>
      </c>
      <c r="E19" s="144">
        <f t="shared" si="2"/>
        <v>2.452188903998705</v>
      </c>
      <c r="F19" s="133">
        <f t="shared" si="3"/>
        <v>2.452188903998705</v>
      </c>
      <c r="G19" s="167">
        <f t="shared" si="4"/>
      </c>
      <c r="H19" s="21"/>
    </row>
    <row r="20" spans="2:8" ht="12.75">
      <c r="B20" s="137">
        <v>0.7</v>
      </c>
      <c r="C20" s="139">
        <f t="shared" si="0"/>
        <v>65.65704023946475</v>
      </c>
      <c r="D20" s="135">
        <f t="shared" si="1"/>
        <v>65.65704023946475</v>
      </c>
      <c r="E20" s="144">
        <f t="shared" si="2"/>
        <v>4.501150618213715</v>
      </c>
      <c r="F20" s="133">
        <f t="shared" si="3"/>
        <v>4.501150618213715</v>
      </c>
      <c r="G20" s="167">
        <f t="shared" si="4"/>
      </c>
      <c r="H20" s="21"/>
    </row>
    <row r="21" spans="2:8" ht="12.75">
      <c r="B21" s="137">
        <v>0.8</v>
      </c>
      <c r="C21" s="139">
        <f t="shared" si="0"/>
        <v>201.32892212559224</v>
      </c>
      <c r="D21" s="135">
        <f t="shared" si="1"/>
        <v>201.32892212559224</v>
      </c>
      <c r="E21" s="144">
        <f t="shared" si="2"/>
        <v>9.16262399417566</v>
      </c>
      <c r="F21" s="133">
        <f t="shared" si="3"/>
        <v>9.16262399417566</v>
      </c>
      <c r="G21" s="167">
        <f t="shared" si="4"/>
      </c>
      <c r="H21" s="21"/>
    </row>
    <row r="22" spans="2:8" ht="12.75">
      <c r="B22" s="137">
        <v>0.9</v>
      </c>
      <c r="C22" s="139">
        <f t="shared" si="0"/>
        <v>952.2934177712755</v>
      </c>
      <c r="D22" s="135">
        <f t="shared" si="1"/>
        <v>952.2934177712755</v>
      </c>
      <c r="E22" s="144">
        <f t="shared" si="2"/>
        <v>24.55434335587497</v>
      </c>
      <c r="F22" s="133">
        <f t="shared" si="3"/>
        <v>24.55434335587497</v>
      </c>
      <c r="G22" s="167">
        <f t="shared" si="4"/>
      </c>
      <c r="H22" s="21"/>
    </row>
    <row r="23" spans="2:8" ht="12.75">
      <c r="B23" s="137">
        <v>0.95</v>
      </c>
      <c r="C23" s="139">
        <f t="shared" si="0"/>
        <v>3436.2569330307056</v>
      </c>
      <c r="D23" s="135">
        <f t="shared" si="1"/>
        <v>3436.2569330307056</v>
      </c>
      <c r="E23" s="144">
        <f t="shared" si="2"/>
        <v>55.42014780858656</v>
      </c>
      <c r="F23" s="133">
        <f t="shared" si="3"/>
        <v>55.42014780858656</v>
      </c>
      <c r="G23" s="167">
        <f t="shared" si="4"/>
      </c>
      <c r="H23" s="21"/>
    </row>
    <row r="24" spans="2:8" ht="12.75">
      <c r="B24" s="138">
        <v>0.99</v>
      </c>
      <c r="C24" s="140">
        <f t="shared" si="0"/>
        <v>38151.84941316901</v>
      </c>
      <c r="D24" s="134">
        <f t="shared" si="1"/>
        <v>38151.84941316901</v>
      </c>
      <c r="E24" s="145">
        <f t="shared" si="2"/>
        <v>255.18122247814782</v>
      </c>
      <c r="F24" s="134">
        <f t="shared" si="3"/>
        <v>255.18122247814782</v>
      </c>
      <c r="G24" s="167" t="str">
        <f t="shared" si="4"/>
        <v>May be unrealistic</v>
      </c>
      <c r="H24" s="21"/>
    </row>
    <row r="25" spans="2:6" ht="12.75">
      <c r="B25" s="175"/>
      <c r="C25" s="176"/>
      <c r="D25" s="177"/>
      <c r="E25" s="178"/>
      <c r="F25" s="177"/>
    </row>
  </sheetData>
  <sheetProtection password="EDCB" sheet="1" objects="1" scenarios="1" selectLockedCells="1"/>
  <mergeCells count="4">
    <mergeCell ref="B3:C3"/>
    <mergeCell ref="C12:D12"/>
    <mergeCell ref="E12:F12"/>
    <mergeCell ref="B4:C4"/>
  </mergeCells>
  <conditionalFormatting sqref="C25">
    <cfRule type="cellIs" priority="1" dxfId="2" operator="greaterThan" stopIfTrue="1">
      <formula>"820*10"</formula>
    </cfRule>
  </conditionalFormatting>
  <conditionalFormatting sqref="D25">
    <cfRule type="cellIs" priority="2" dxfId="2" operator="greaterThan" stopIfTrue="1">
      <formula>820*12</formula>
    </cfRule>
  </conditionalFormatting>
  <conditionalFormatting sqref="F14:F24">
    <cfRule type="cellIs" priority="3" dxfId="0" operator="greaterThan" stopIfTrue="1">
      <formula>18720*12</formula>
    </cfRule>
  </conditionalFormatting>
  <conditionalFormatting sqref="D14:D24">
    <cfRule type="cellIs" priority="4" dxfId="0" operator="greaterThan" stopIfTrue="1">
      <formula>820*12</formula>
    </cfRule>
  </conditionalFormatting>
  <printOptions/>
  <pageMargins left="0.75" right="0.75" top="1" bottom="1" header="0.5" footer="0.5"/>
  <pageSetup horizontalDpi="600" verticalDpi="600" orientation="landscape" paperSize="9" r:id="rId2"/>
  <headerFooter alignWithMargins="0">
    <oddHeader>&amp;L&amp;D&amp;C&amp;F&amp;RPage &amp;P</oddHeader>
    <oddFooter>&amp;L&amp;A</oddFooter>
  </headerFooter>
  <rowBreaks count="1" manualBreakCount="1">
    <brk id="25" max="255" man="1"/>
  </rowBreaks>
  <drawing r:id="rId1"/>
</worksheet>
</file>

<file path=xl/worksheets/sheet14.xml><?xml version="1.0" encoding="utf-8"?>
<worksheet xmlns="http://schemas.openxmlformats.org/spreadsheetml/2006/main" xmlns:r="http://schemas.openxmlformats.org/officeDocument/2006/relationships">
  <sheetPr codeName="Sheet23"/>
  <dimension ref="A1:Z51"/>
  <sheetViews>
    <sheetView showRowColHeaders="0" zoomScalePageLayoutView="0" workbookViewId="0" topLeftCell="A1">
      <selection activeCell="C5" sqref="C5"/>
    </sheetView>
  </sheetViews>
  <sheetFormatPr defaultColWidth="9.140625" defaultRowHeight="12.75"/>
  <cols>
    <col min="1" max="1" width="3.421875" style="1" customWidth="1"/>
    <col min="2" max="2" width="56.7109375" style="0" customWidth="1"/>
    <col min="3" max="3" width="28.57421875" style="0" bestFit="1" customWidth="1"/>
    <col min="4" max="4" width="36.57421875" style="0" customWidth="1"/>
    <col min="5" max="5" width="22.57421875" style="0" customWidth="1"/>
    <col min="6" max="9" width="9.140625" style="32" hidden="1" customWidth="1"/>
    <col min="10" max="10" width="9.28125" style="32" hidden="1" customWidth="1"/>
    <col min="11" max="11" width="14.421875" style="32" hidden="1" customWidth="1"/>
    <col min="12" max="12" width="9.57421875" style="32" hidden="1" customWidth="1"/>
    <col min="13" max="17" width="9.140625" style="32" hidden="1" customWidth="1"/>
  </cols>
  <sheetData>
    <row r="1" spans="2:26" ht="14.25" customHeight="1">
      <c r="B1" s="81" t="s">
        <v>534</v>
      </c>
      <c r="C1" s="22"/>
      <c r="D1" s="274">
        <f>IF(ISBLANK(Name_scenario),"",Name_scenario)</f>
      </c>
      <c r="E1" s="274"/>
      <c r="G1" s="33"/>
      <c r="H1" s="33"/>
      <c r="I1" s="33"/>
      <c r="J1" s="33"/>
      <c r="K1" s="33"/>
      <c r="R1" s="1"/>
      <c r="S1" s="1"/>
      <c r="T1" s="1"/>
      <c r="U1" s="1"/>
      <c r="V1" s="1"/>
      <c r="W1" s="1"/>
      <c r="X1" s="1"/>
      <c r="Y1" s="1"/>
      <c r="Z1" s="1"/>
    </row>
    <row r="2" spans="2:26" ht="14.25" customHeight="1">
      <c r="B2" s="46" t="s">
        <v>896</v>
      </c>
      <c r="C2" s="7"/>
      <c r="D2" s="7"/>
      <c r="E2" s="7"/>
      <c r="F2" s="32" t="s">
        <v>522</v>
      </c>
      <c r="G2" s="33"/>
      <c r="H2" s="33"/>
      <c r="I2" s="33"/>
      <c r="J2" s="33"/>
      <c r="K2" s="33"/>
      <c r="R2" s="1"/>
      <c r="S2" s="1"/>
      <c r="T2" s="1"/>
      <c r="U2" s="1"/>
      <c r="V2" s="1"/>
      <c r="W2" s="1"/>
      <c r="X2" s="1"/>
      <c r="Y2" s="1"/>
      <c r="Z2" s="1"/>
    </row>
    <row r="3" spans="1:26" ht="12.75">
      <c r="A3" s="2"/>
      <c r="B3" s="4" t="s">
        <v>523</v>
      </c>
      <c r="C3" s="3" t="s">
        <v>524</v>
      </c>
      <c r="D3" s="3" t="s">
        <v>858</v>
      </c>
      <c r="E3" s="153" t="s">
        <v>326</v>
      </c>
      <c r="F3" s="34" t="s">
        <v>525</v>
      </c>
      <c r="G3" s="33"/>
      <c r="H3" s="33"/>
      <c r="I3" s="33"/>
      <c r="J3" s="33"/>
      <c r="K3" s="33"/>
      <c r="R3" s="1"/>
      <c r="S3" s="1"/>
      <c r="T3" s="1"/>
      <c r="U3" s="1"/>
      <c r="V3" s="1"/>
      <c r="W3" s="1"/>
      <c r="X3" s="1"/>
      <c r="Y3" s="1"/>
      <c r="Z3" s="1"/>
    </row>
    <row r="4" spans="1:26" ht="13.5" thickBot="1">
      <c r="A4" s="6"/>
      <c r="B4" s="7"/>
      <c r="C4" s="7"/>
      <c r="D4" s="7"/>
      <c r="E4" s="154" t="s">
        <v>505</v>
      </c>
      <c r="G4" s="33"/>
      <c r="H4" s="33"/>
      <c r="I4" s="33"/>
      <c r="J4" s="33"/>
      <c r="K4" s="33"/>
      <c r="R4" s="1"/>
      <c r="S4" s="1"/>
      <c r="T4" s="1"/>
      <c r="U4" s="1"/>
      <c r="V4" s="1"/>
      <c r="W4" s="1"/>
      <c r="X4" s="1"/>
      <c r="Y4" s="1"/>
      <c r="Z4" s="1"/>
    </row>
    <row r="5" spans="1:26" ht="13.5" thickBot="1">
      <c r="A5" s="6"/>
      <c r="B5" s="7" t="s">
        <v>862</v>
      </c>
      <c r="C5" s="31" t="s">
        <v>809</v>
      </c>
      <c r="D5" s="7"/>
      <c r="E5" s="187"/>
      <c r="F5" s="32">
        <f>IF(C5=Mechanical_treatment_physicalstatea,Mechanical_treatment_physicalstate1,IF(C5=Mechanical_treatment_physicalstateb,Mechanical_treatment_physicalstate2,))</f>
        <v>0.074</v>
      </c>
      <c r="G5" s="33" t="str">
        <f>Mechanical_treatment_physicalstatea</f>
        <v>Liquid</v>
      </c>
      <c r="H5" s="33"/>
      <c r="I5" s="33"/>
      <c r="J5" s="33"/>
      <c r="K5" s="33"/>
      <c r="P5" s="35"/>
      <c r="R5" s="1"/>
      <c r="S5" s="1"/>
      <c r="T5" s="1"/>
      <c r="U5" s="1"/>
      <c r="V5" s="1"/>
      <c r="W5" s="1"/>
      <c r="X5" s="1"/>
      <c r="Y5" s="1"/>
      <c r="Z5" s="1"/>
    </row>
    <row r="6" spans="1:26" ht="13.5" thickBot="1">
      <c r="A6" s="6"/>
      <c r="B6" s="7"/>
      <c r="C6" s="7"/>
      <c r="D6" s="7"/>
      <c r="E6" s="187"/>
      <c r="G6" s="33" t="str">
        <f>Mechanical_treatment_physicalstateb</f>
        <v>Solid</v>
      </c>
      <c r="H6" s="33"/>
      <c r="I6" s="33"/>
      <c r="J6" s="33"/>
      <c r="K6" s="33"/>
      <c r="O6" s="32">
        <v>1E-06</v>
      </c>
      <c r="P6" s="35"/>
      <c r="R6" s="1"/>
      <c r="S6" s="1"/>
      <c r="T6" s="1"/>
      <c r="U6" s="1"/>
      <c r="V6" s="1"/>
      <c r="W6" s="1"/>
      <c r="X6" s="1"/>
      <c r="Y6" s="1"/>
      <c r="Z6" s="1"/>
    </row>
    <row r="7" spans="1:26" ht="13.5" thickBot="1">
      <c r="A7" s="6"/>
      <c r="B7" s="7" t="s">
        <v>533</v>
      </c>
      <c r="C7" s="31" t="s">
        <v>705</v>
      </c>
      <c r="D7" s="7"/>
      <c r="E7" s="187"/>
      <c r="F7" s="32">
        <f>IF(C7=Mechanical_treatment_proximitya,Mechanical_treatment_proximity1,IF(C7=Mechanical_treatment_proximityb,Mechanical_treatment_proximity2,))</f>
        <v>1</v>
      </c>
      <c r="G7" s="33" t="str">
        <f>Mechanical_treatment_proximitya</f>
        <v>Less than or about arm's length</v>
      </c>
      <c r="H7" s="33"/>
      <c r="I7" s="33"/>
      <c r="J7" s="33"/>
      <c r="K7" s="33" t="s">
        <v>664</v>
      </c>
      <c r="L7" s="39"/>
      <c r="M7" s="32" t="e">
        <f>MATCH(Mechanical_treatment_medianratehands,Digitfind,1)</f>
        <v>#N/A</v>
      </c>
      <c r="N7" s="32" t="s">
        <v>665</v>
      </c>
      <c r="O7" s="32">
        <v>1E-05</v>
      </c>
      <c r="P7" s="37" t="e">
        <f>IF(Mechanical_treatment_digitmedianratehands&lt;=9,ROUND(Mechanical_treatment_medianratehands,(11-Mechanical_treatment_digitmedianratehands-1)),IF(Mechanical_treatment_digitmedianratehands&gt;9,ROUND(Mechanical_treatment_medianratehands,-(Mechanical_treatment_digitmedianratehands-10))))</f>
        <v>#N/A</v>
      </c>
      <c r="Q7" s="32" t="s">
        <v>666</v>
      </c>
      <c r="R7" s="1"/>
      <c r="S7" s="1"/>
      <c r="T7" s="1"/>
      <c r="U7" s="1"/>
      <c r="V7" s="1"/>
      <c r="W7" s="1"/>
      <c r="X7" s="1"/>
      <c r="Y7" s="1"/>
      <c r="Z7" s="1"/>
    </row>
    <row r="8" spans="1:26" ht="13.5" thickBot="1">
      <c r="A8" s="6"/>
      <c r="B8" s="7"/>
      <c r="C8" s="7"/>
      <c r="D8" s="7"/>
      <c r="E8" s="187"/>
      <c r="G8" s="33" t="str">
        <f>Mechanical_treatment_proximityb</f>
        <v>More than arm's length</v>
      </c>
      <c r="H8" s="33"/>
      <c r="I8" s="33"/>
      <c r="J8" s="33"/>
      <c r="K8" s="33" t="s">
        <v>667</v>
      </c>
      <c r="L8" s="39">
        <f>Mechanical_treatement_intercept*Mechanical_treatment_physicalstate*Mechanical_treatment_proximity*Mechanical_treatment_contactfrequency</f>
        <v>1.0952</v>
      </c>
      <c r="M8" s="32">
        <f>MATCH(Mechanical_treatment_medianratebody,Digitfind,1)</f>
        <v>8</v>
      </c>
      <c r="N8" s="32" t="s">
        <v>668</v>
      </c>
      <c r="O8" s="32">
        <v>0.0001</v>
      </c>
      <c r="P8" s="37">
        <f>IF(Mechanical_treatment_digitmedianratebody&lt;=9,ROUND(Mechanical_treatment_medianratebody,(11-Mechanical_treatment_digitmedianratebody-1)),IF(Mechanical_treatment_digitmedianratebody&gt;9,ROUND(Mechanical_treatment_medianratebody,-(Mechanical_treatment_digitmedianratebody-10))))</f>
        <v>1.1</v>
      </c>
      <c r="Q8" s="32" t="s">
        <v>669</v>
      </c>
      <c r="R8" s="1"/>
      <c r="S8" s="1"/>
      <c r="T8" s="1"/>
      <c r="U8" s="1"/>
      <c r="V8" s="1"/>
      <c r="W8" s="1"/>
      <c r="X8" s="1"/>
      <c r="Y8" s="1"/>
      <c r="Z8" s="1"/>
    </row>
    <row r="9" spans="1:26" ht="40.5" customHeight="1" thickBot="1">
      <c r="A9" s="44"/>
      <c r="B9" s="43" t="s">
        <v>859</v>
      </c>
      <c r="C9" s="40" t="s">
        <v>811</v>
      </c>
      <c r="D9" s="43" t="str">
        <f>IF(C9=Mechanical_treatment_contactfrequencya,"Contact happens with a low frequency and without regular pattern",IF(C9=Mechanical_treatment_contactfrequencyb,"Contact happens with a high frequency, prolonged or constantly or has a clear regular pattern",""))</f>
        <v>Contact happens with a low frequency and without regular pattern</v>
      </c>
      <c r="E9" s="187"/>
      <c r="F9" s="32">
        <f>IF(C9=Mechanical_treatment_contactfrequencya,Mechanical_treatment_contactfrequency1,IF(C9=Mechanical_treatment_contactfrequencyb,Mechanical_treatment_contactfrequency2,))</f>
        <v>1</v>
      </c>
      <c r="G9" s="33" t="str">
        <f>Mechanical_treatment_contactfrequencya</f>
        <v>Rare or irregular contact</v>
      </c>
      <c r="H9" s="33"/>
      <c r="I9" s="33"/>
      <c r="J9" s="33"/>
      <c r="K9" s="33" t="s">
        <v>670</v>
      </c>
      <c r="L9" s="39"/>
      <c r="M9" s="32" t="e">
        <f>MATCH(Mechanical_treatment_percentileratehands,Digitfind,1)</f>
        <v>#N/A</v>
      </c>
      <c r="N9" s="32" t="s">
        <v>671</v>
      </c>
      <c r="O9" s="32">
        <v>0.001</v>
      </c>
      <c r="P9" s="37" t="e">
        <f>IF(Mechanical_treatment_digitpercentileratehands&lt;=9,ROUND(Mechanical_treatment_percentileratehands,(11-Mechanical_treatment_digitpercentileratehands-1)),IF(Mechanical_treatment_digitpercentileratehands&gt;9,ROUND(Mechanical_treatment_percentileratehands,-(Mechanical_treatment_digitpercentileratehands-10))))</f>
        <v>#N/A</v>
      </c>
      <c r="Q9" s="32" t="s">
        <v>672</v>
      </c>
      <c r="R9" s="1"/>
      <c r="S9" s="1"/>
      <c r="T9" s="1"/>
      <c r="U9" s="1"/>
      <c r="V9" s="1"/>
      <c r="W9" s="1"/>
      <c r="X9" s="1"/>
      <c r="Y9" s="1"/>
      <c r="Z9" s="1"/>
    </row>
    <row r="10" spans="1:26" ht="13.5" thickBot="1">
      <c r="A10" s="6"/>
      <c r="B10" s="7"/>
      <c r="C10" s="7"/>
      <c r="D10" s="7"/>
      <c r="E10" s="187"/>
      <c r="G10" s="33" t="str">
        <f>Mechanical_treatment_contactfrequencyb</f>
        <v>Frequent or constant contact</v>
      </c>
      <c r="H10" s="33"/>
      <c r="I10" s="33"/>
      <c r="J10" s="33"/>
      <c r="K10" s="33" t="s">
        <v>673</v>
      </c>
      <c r="L10" s="39">
        <f>LOGINV(Mechanical_treatment_percentile,LN(Mechanical_treatment_medianbodyraterounded),LN(Mechanical_treatment_GSD))</f>
        <v>8.431688469840543</v>
      </c>
      <c r="M10" s="32">
        <f>MATCH(Mechanical_treatment_percentileratebody,Digitfind,1)</f>
        <v>8</v>
      </c>
      <c r="N10" s="32" t="s">
        <v>674</v>
      </c>
      <c r="O10" s="32">
        <v>0.01</v>
      </c>
      <c r="P10" s="37">
        <f>IF(Mechanical_treatment_digitpercentileratebody&lt;=9,ROUND(Mechanical_treatment_percentileratebody,(11-Mechanical_treatment_digitpercentileratebody-1)),IF(Mechanical_treatment_digitpercentileratebody&gt;9,ROUND(Mechanical_treatment_percentileratebody,-(Mechanical_treatment_digitpercentileratebody-10))))</f>
        <v>8.43</v>
      </c>
      <c r="Q10" s="32" t="s">
        <v>675</v>
      </c>
      <c r="R10" s="1"/>
      <c r="S10" s="1"/>
      <c r="T10" s="1"/>
      <c r="U10" s="1"/>
      <c r="V10" s="1"/>
      <c r="W10" s="1"/>
      <c r="X10" s="1"/>
      <c r="Y10" s="1"/>
      <c r="Z10" s="1"/>
    </row>
    <row r="11" spans="1:26" ht="13.5" thickBot="1">
      <c r="A11" s="6"/>
      <c r="B11" s="7"/>
      <c r="C11" s="7"/>
      <c r="D11" s="7"/>
      <c r="E11" s="187"/>
      <c r="G11" s="33"/>
      <c r="H11" s="33"/>
      <c r="I11" s="33"/>
      <c r="J11" s="33"/>
      <c r="K11" s="33" t="s">
        <v>676</v>
      </c>
      <c r="L11" s="39"/>
      <c r="M11" s="32" t="e">
        <f>MATCH(Mechanical_treatment_medianloadinghands,Digitfind,1)</f>
        <v>#N/A</v>
      </c>
      <c r="N11" s="32" t="s">
        <v>677</v>
      </c>
      <c r="O11" s="32">
        <v>0.1</v>
      </c>
      <c r="P11" s="37" t="e">
        <f>IF(Mechanical_treatment_digitmedianloadinghands&lt;=9,ROUND(Mechanical_treatment_medianloadinghands,(11-Mechanical_treatment_digitmedianloadinghands-1)),IF(Mechanical_treatment_digitmedianloadinghands&gt;9,ROUND(Mechanical_treatment_medianloadinghands,-(Mechanical_treatment_digitmedianloadinghands-10))))</f>
        <v>#N/A</v>
      </c>
      <c r="Q11" s="32" t="s">
        <v>678</v>
      </c>
      <c r="R11" s="1"/>
      <c r="S11" s="1"/>
      <c r="T11" s="1"/>
      <c r="U11" s="1"/>
      <c r="V11" s="1"/>
      <c r="W11" s="1"/>
      <c r="X11" s="1"/>
      <c r="Y11" s="1"/>
      <c r="Z11" s="1"/>
    </row>
    <row r="12" spans="1:26" ht="13.5" thickBot="1">
      <c r="A12" s="6"/>
      <c r="B12" s="7" t="s">
        <v>526</v>
      </c>
      <c r="C12" s="57">
        <v>0.9</v>
      </c>
      <c r="D12" s="7" t="s">
        <v>527</v>
      </c>
      <c r="E12" s="187"/>
      <c r="G12" s="33"/>
      <c r="H12" s="33"/>
      <c r="I12" s="33"/>
      <c r="J12" s="33"/>
      <c r="K12" s="33" t="s">
        <v>679</v>
      </c>
      <c r="L12" s="39">
        <f>Mechanical_treatment_medianratebody*Mechanical_treatment_cumulativeduration</f>
        <v>1.0952</v>
      </c>
      <c r="M12" s="32">
        <f>MATCH(Mechanical_treatment_medianloadingbody,Digitfind,1)</f>
        <v>8</v>
      </c>
      <c r="N12" s="32" t="s">
        <v>680</v>
      </c>
      <c r="O12" s="32">
        <v>1</v>
      </c>
      <c r="P12" s="37">
        <f>IF(Mechanical_treatment_digitmedianloadingbody&lt;=9,ROUND(Mechanical_treatment_medianloadingbody,(11-Mechanical_treatment_digitmedianloadingbody-1)),IF(Mechanical_treatment_digitmedianloadingbody&gt;9,ROUND(Mechanical_treatment_medianloadingbody,-(Mechanical_treatment_digitmedianloadingbody-10))))</f>
        <v>1.1</v>
      </c>
      <c r="Q12" s="32" t="s">
        <v>681</v>
      </c>
      <c r="R12" s="1"/>
      <c r="S12" s="1"/>
      <c r="T12" s="1"/>
      <c r="U12" s="1"/>
      <c r="V12" s="1"/>
      <c r="W12" s="1"/>
      <c r="X12" s="1"/>
      <c r="Y12" s="1"/>
      <c r="Z12" s="1"/>
    </row>
    <row r="13" spans="1:26" ht="13.5" thickBot="1">
      <c r="A13" s="6"/>
      <c r="B13" s="7"/>
      <c r="C13" s="9"/>
      <c r="D13" s="7"/>
      <c r="E13" s="187"/>
      <c r="F13" s="32">
        <f>Mechanical_treatement_intercept</f>
        <v>14.8</v>
      </c>
      <c r="G13" s="33" t="s">
        <v>307</v>
      </c>
      <c r="H13" s="33"/>
      <c r="I13" s="33"/>
      <c r="J13" s="33"/>
      <c r="K13" s="33" t="s">
        <v>682</v>
      </c>
      <c r="L13" s="39"/>
      <c r="M13" s="32" t="e">
        <f>MATCH(Mechanical_treatment_percentileloadinghands,Digitfind,1)</f>
        <v>#N/A</v>
      </c>
      <c r="N13" s="32" t="s">
        <v>683</v>
      </c>
      <c r="O13" s="32">
        <v>10</v>
      </c>
      <c r="P13" s="37" t="e">
        <f>IF(Mechanical_treatment_digitpercentileloadinghands&lt;=9,ROUND(Mechanical_treatment_percentileloadinghands,(11-Mechanical_treatment_digitpercentileloadinghands-1)),IF(Mechanical_treatment_digitpercentileloadinghands&gt;9,ROUND(Mechanical_treatment_percentileloadinghands,-(Mechanical_treatment_digitpercentileloadinghands-10))))</f>
        <v>#N/A</v>
      </c>
      <c r="Q13" s="32" t="s">
        <v>684</v>
      </c>
      <c r="R13" s="1"/>
      <c r="S13" s="1"/>
      <c r="T13" s="1"/>
      <c r="U13" s="1"/>
      <c r="V13" s="1"/>
      <c r="W13" s="1"/>
      <c r="X13" s="1"/>
      <c r="Y13" s="1"/>
      <c r="Z13" s="1"/>
    </row>
    <row r="14" spans="1:26" ht="16.5" customHeight="1" thickBot="1">
      <c r="A14" s="6"/>
      <c r="B14" s="7"/>
      <c r="C14" s="10" t="s">
        <v>528</v>
      </c>
      <c r="D14" s="11" t="s">
        <v>529</v>
      </c>
      <c r="E14" s="155"/>
      <c r="G14" s="33"/>
      <c r="H14" s="33"/>
      <c r="I14" s="33"/>
      <c r="J14" s="33"/>
      <c r="K14" s="33" t="s">
        <v>685</v>
      </c>
      <c r="L14" s="39">
        <f>Mechanical_treatment_percentileratebody*Mechanical_treatment_cumulativeduration</f>
        <v>8.431688469840543</v>
      </c>
      <c r="M14" s="32">
        <f>MATCH(Mechanical_treatment_percentileloadingbody,Digitfind,1)</f>
        <v>8</v>
      </c>
      <c r="N14" s="32" t="s">
        <v>686</v>
      </c>
      <c r="O14" s="32">
        <v>100</v>
      </c>
      <c r="P14" s="37">
        <f>IF(Mechanical_treatment_digitpercentileloadingbody&lt;=9,ROUND(Mechanical_treatment_percentileloadingbody,(11-Mechanical_treatment_digitpercentileloadingbody-1)),IF(Mechanical_treatment_digitpercentileloadingbody&gt;9,ROUND(Mechanical_treatment_percentileloadingbody,-(Mechanical_treatment_digitpercentileloadingbody-10))))</f>
        <v>8.43</v>
      </c>
      <c r="Q14" s="32" t="s">
        <v>687</v>
      </c>
      <c r="R14" s="1"/>
      <c r="S14" s="1"/>
      <c r="T14" s="1"/>
      <c r="U14" s="1"/>
      <c r="V14" s="1"/>
      <c r="W14" s="1"/>
      <c r="X14" s="1"/>
      <c r="Y14" s="1"/>
      <c r="Z14" s="1"/>
    </row>
    <row r="15" spans="1:26" ht="13.5" thickBot="1">
      <c r="A15" s="29"/>
      <c r="B15" s="92" t="s">
        <v>577</v>
      </c>
      <c r="C15" s="17">
        <f>Mechanical_treatment_medianbodyraterounded</f>
        <v>1.1</v>
      </c>
      <c r="D15" s="17">
        <f>Mechanical_treatment_percentilebodyraterounded</f>
        <v>8.43</v>
      </c>
      <c r="E15" s="89" t="str">
        <f>Mechanical_treatment_unit1</f>
        <v>mg/min</v>
      </c>
      <c r="G15" s="33"/>
      <c r="H15" s="33"/>
      <c r="I15" s="33"/>
      <c r="J15" s="33"/>
      <c r="O15" s="32">
        <v>1000</v>
      </c>
      <c r="R15" s="1"/>
      <c r="S15" s="1"/>
      <c r="T15" s="1"/>
      <c r="U15" s="1"/>
      <c r="V15" s="1"/>
      <c r="W15" s="1"/>
      <c r="X15" s="1"/>
      <c r="Y15" s="1"/>
      <c r="Z15" s="1"/>
    </row>
    <row r="16" spans="1:26" ht="13.5" thickBot="1">
      <c r="A16" s="6"/>
      <c r="B16" s="7"/>
      <c r="C16" s="7"/>
      <c r="D16" s="7"/>
      <c r="E16" s="187"/>
      <c r="F16" s="32">
        <f>Mechanical_treatment_GSD</f>
        <v>4.9</v>
      </c>
      <c r="G16" s="33" t="s">
        <v>583</v>
      </c>
      <c r="H16" s="33"/>
      <c r="I16" s="33"/>
      <c r="J16" s="33"/>
      <c r="K16" s="33"/>
      <c r="O16" s="32">
        <v>10000</v>
      </c>
      <c r="P16" s="35"/>
      <c r="R16" s="1"/>
      <c r="S16" s="1"/>
      <c r="T16" s="1"/>
      <c r="U16" s="1"/>
      <c r="V16" s="1"/>
      <c r="W16" s="1"/>
      <c r="X16" s="1"/>
      <c r="Y16" s="1"/>
      <c r="Z16" s="1"/>
    </row>
    <row r="17" spans="1:26" ht="13.5" thickBot="1">
      <c r="A17" s="6"/>
      <c r="B17" s="7" t="s">
        <v>530</v>
      </c>
      <c r="C17" s="56">
        <v>1</v>
      </c>
      <c r="D17" s="7" t="s">
        <v>531</v>
      </c>
      <c r="E17" s="187" t="s">
        <v>100</v>
      </c>
      <c r="G17" s="33"/>
      <c r="H17" s="33"/>
      <c r="I17" s="33"/>
      <c r="J17" s="33"/>
      <c r="K17" s="33"/>
      <c r="O17" s="32">
        <v>100000</v>
      </c>
      <c r="P17" s="35"/>
      <c r="R17" s="1"/>
      <c r="S17" s="1"/>
      <c r="T17" s="1"/>
      <c r="U17" s="1"/>
      <c r="V17" s="1"/>
      <c r="W17" s="1"/>
      <c r="X17" s="1"/>
      <c r="Y17" s="1"/>
      <c r="Z17" s="1"/>
    </row>
    <row r="18" spans="1:26" ht="12.75">
      <c r="A18" s="6"/>
      <c r="B18" s="7"/>
      <c r="C18" s="107">
        <f>IF(C5="solid",IF(Mechanical_treatment_cumulativeduration&gt;154,"Model was based on values up to 154 minutes for solids!",""),IF(Mechanical_treatment_cumulativeduration&gt;214,"Model was based on values up to 214 minutes for liquids!",""))</f>
      </c>
      <c r="D18" s="7"/>
      <c r="E18" s="187" t="s">
        <v>101</v>
      </c>
      <c r="F18" s="32" t="str">
        <f>IF(C5=Mechanical_treatment_physicalstatea,Mechanical_treatment_unit11,IF(C5=Mechanical_treatment_physicalstateb,Mechanical_treatment_unit12,))</f>
        <v>mg/min</v>
      </c>
      <c r="G18" s="33"/>
      <c r="H18" s="33"/>
      <c r="I18" s="33"/>
      <c r="J18" s="33"/>
      <c r="K18" s="33"/>
      <c r="O18" s="32">
        <v>1000000</v>
      </c>
      <c r="P18" s="35"/>
      <c r="R18" s="1"/>
      <c r="S18" s="1"/>
      <c r="T18" s="1"/>
      <c r="U18" s="1"/>
      <c r="V18" s="1"/>
      <c r="W18" s="1"/>
      <c r="X18" s="1"/>
      <c r="Y18" s="1"/>
      <c r="Z18" s="1"/>
    </row>
    <row r="19" spans="1:26" ht="13.5" thickBot="1">
      <c r="A19" s="6"/>
      <c r="B19" s="7"/>
      <c r="C19" s="104"/>
      <c r="D19" s="7"/>
      <c r="E19" s="187"/>
      <c r="G19" s="33"/>
      <c r="H19" s="33"/>
      <c r="I19" s="33"/>
      <c r="J19" s="33"/>
      <c r="K19" s="33"/>
      <c r="P19" s="35"/>
      <c r="R19" s="1"/>
      <c r="S19" s="1"/>
      <c r="T19" s="1"/>
      <c r="U19" s="1"/>
      <c r="V19" s="1"/>
      <c r="W19" s="1"/>
      <c r="X19" s="1"/>
      <c r="Y19" s="1"/>
      <c r="Z19" s="1"/>
    </row>
    <row r="20" spans="1:26" ht="17.25" customHeight="1" thickBot="1">
      <c r="A20" s="14"/>
      <c r="B20" s="91"/>
      <c r="C20" s="10" t="s">
        <v>528</v>
      </c>
      <c r="D20" s="11" t="s">
        <v>529</v>
      </c>
      <c r="E20" s="155"/>
      <c r="G20" s="33"/>
      <c r="H20" s="33"/>
      <c r="I20" s="33"/>
      <c r="J20" s="33"/>
      <c r="K20" s="33"/>
      <c r="R20" s="1"/>
      <c r="S20" s="1"/>
      <c r="T20" s="1"/>
      <c r="U20" s="1"/>
      <c r="V20" s="1"/>
      <c r="W20" s="1"/>
      <c r="X20" s="1"/>
      <c r="Y20" s="1"/>
      <c r="Z20" s="1"/>
    </row>
    <row r="21" spans="1:26" ht="13.5" thickBot="1">
      <c r="A21" s="30"/>
      <c r="B21" s="93" t="s">
        <v>532</v>
      </c>
      <c r="C21" s="17">
        <f>Mechanical_treatment_medianbodyloadingrounded</f>
        <v>1.1</v>
      </c>
      <c r="D21" s="17">
        <f>Mechanical_treatment_percentilebodyloadingrounded</f>
        <v>8.43</v>
      </c>
      <c r="E21" s="89" t="str">
        <f>Mechanical_treatment_unit2</f>
        <v>mg</v>
      </c>
      <c r="F21" s="32" t="str">
        <f>IF(C5=Mechanical_treatment_physicalstatea,Mechanical_treatment_unit21,IF(C5=Mechanical_treatment_physicalstateb,Mechanical_treatment_unit22,))</f>
        <v>mg</v>
      </c>
      <c r="G21" s="33"/>
      <c r="H21" s="33"/>
      <c r="I21" s="33"/>
      <c r="J21" s="33"/>
      <c r="K21" s="33"/>
      <c r="R21" s="1"/>
      <c r="S21" s="1"/>
      <c r="T21" s="1"/>
      <c r="U21" s="1"/>
      <c r="V21" s="1"/>
      <c r="W21" s="1"/>
      <c r="X21" s="1"/>
      <c r="Y21" s="1"/>
      <c r="Z21" s="1"/>
    </row>
    <row r="22" spans="2:26" ht="12.75">
      <c r="B22" s="173" t="s">
        <v>169</v>
      </c>
      <c r="C22" s="7"/>
      <c r="D22" s="7"/>
      <c r="E22" s="7"/>
      <c r="G22" s="33"/>
      <c r="H22" s="33"/>
      <c r="I22" s="33"/>
      <c r="J22" s="33"/>
      <c r="K22" s="33"/>
      <c r="R22" s="1"/>
      <c r="S22" s="1"/>
      <c r="T22" s="1"/>
      <c r="U22" s="1"/>
      <c r="V22" s="1"/>
      <c r="W22" s="1"/>
      <c r="X22" s="1"/>
      <c r="Y22" s="1"/>
      <c r="Z22" s="1"/>
    </row>
    <row r="23" spans="2:26" ht="12.75">
      <c r="B23" s="7"/>
      <c r="C23" s="7"/>
      <c r="D23" s="7"/>
      <c r="E23" s="7"/>
      <c r="R23" s="1"/>
      <c r="S23" s="1"/>
      <c r="T23" s="1"/>
      <c r="U23" s="1"/>
      <c r="V23" s="1"/>
      <c r="W23" s="1"/>
      <c r="X23" s="1"/>
      <c r="Y23" s="1"/>
      <c r="Z23" s="1"/>
    </row>
    <row r="24" spans="2:26" ht="12.75">
      <c r="B24" s="87" t="s">
        <v>901</v>
      </c>
      <c r="C24" s="7"/>
      <c r="D24" s="7"/>
      <c r="E24" s="7"/>
      <c r="R24" s="1"/>
      <c r="S24" s="1"/>
      <c r="T24" s="1"/>
      <c r="U24" s="1"/>
      <c r="V24" s="1"/>
      <c r="W24" s="1"/>
      <c r="X24" s="1"/>
      <c r="Y24" s="1"/>
      <c r="Z24" s="1"/>
    </row>
    <row r="25" spans="2:26" ht="12.75">
      <c r="B25" s="7"/>
      <c r="C25" s="7"/>
      <c r="D25" s="7"/>
      <c r="E25" s="7"/>
      <c r="R25" s="1"/>
      <c r="S25" s="1"/>
      <c r="T25" s="1"/>
      <c r="U25" s="1"/>
      <c r="V25" s="1"/>
      <c r="W25" s="1"/>
      <c r="X25" s="1"/>
      <c r="Y25" s="1"/>
      <c r="Z25" s="1"/>
    </row>
    <row r="26" spans="2:26" ht="12.75">
      <c r="B26" s="87">
        <f>IF(C21/18720&gt;12,"The median exposure loading per shift for body is higher than what is considered reasonable. Use this result with caution!","")</f>
      </c>
      <c r="C26" s="7"/>
      <c r="D26" s="7"/>
      <c r="E26" s="7"/>
      <c r="R26" s="1"/>
      <c r="S26" s="1"/>
      <c r="T26" s="1"/>
      <c r="U26" s="1"/>
      <c r="V26" s="1"/>
      <c r="W26" s="1"/>
      <c r="X26" s="1"/>
      <c r="Y26" s="1"/>
      <c r="Z26" s="1"/>
    </row>
    <row r="27" spans="2:26" ht="12.75">
      <c r="B27" s="87">
        <f>IF(D21/18720&gt;12,"The 'percentile distribution' exposure loading per shift for body is higher than what is considered reasonable. Use this result with caution!","")</f>
      </c>
      <c r="C27" s="7"/>
      <c r="D27" s="7"/>
      <c r="E27" s="7"/>
      <c r="R27" s="1"/>
      <c r="S27" s="1"/>
      <c r="T27" s="1"/>
      <c r="U27" s="1"/>
      <c r="V27" s="1"/>
      <c r="W27" s="1"/>
      <c r="X27" s="1"/>
      <c r="Y27" s="1"/>
      <c r="Z27" s="1"/>
    </row>
    <row r="28" spans="2:26" ht="12.75">
      <c r="B28" s="87"/>
      <c r="C28" s="7"/>
      <c r="D28" s="7"/>
      <c r="E28" s="7"/>
      <c r="R28" s="1"/>
      <c r="S28" s="1"/>
      <c r="T28" s="1"/>
      <c r="U28" s="1"/>
      <c r="V28" s="1"/>
      <c r="W28" s="1"/>
      <c r="X28" s="1"/>
      <c r="Y28" s="1"/>
      <c r="Z28" s="1"/>
    </row>
    <row r="29" spans="2:26" ht="12.75">
      <c r="B29" s="87"/>
      <c r="C29" s="7"/>
      <c r="D29" s="7"/>
      <c r="E29" s="7"/>
      <c r="R29" s="1"/>
      <c r="S29" s="1"/>
      <c r="T29" s="1"/>
      <c r="U29" s="1"/>
      <c r="V29" s="1"/>
      <c r="W29" s="1"/>
      <c r="X29" s="1"/>
      <c r="Y29" s="1"/>
      <c r="Z29" s="1"/>
    </row>
    <row r="30" spans="2:26" ht="12.75">
      <c r="B30" s="7"/>
      <c r="C30" s="7"/>
      <c r="D30" s="7"/>
      <c r="E30" s="7"/>
      <c r="R30" s="1"/>
      <c r="S30" s="1"/>
      <c r="T30" s="1"/>
      <c r="U30" s="1"/>
      <c r="V30" s="1"/>
      <c r="W30" s="1"/>
      <c r="X30" s="1"/>
      <c r="Y30" s="1"/>
      <c r="Z30" s="1"/>
    </row>
    <row r="31" spans="2:26" ht="12.75">
      <c r="B31" s="7"/>
      <c r="C31" s="7"/>
      <c r="D31" s="7"/>
      <c r="E31" s="7"/>
      <c r="R31" s="1"/>
      <c r="S31" s="1"/>
      <c r="T31" s="1"/>
      <c r="U31" s="1"/>
      <c r="V31" s="1"/>
      <c r="W31" s="1"/>
      <c r="X31" s="1"/>
      <c r="Y31" s="1"/>
      <c r="Z31" s="1"/>
    </row>
    <row r="32" spans="2:26" ht="12.75">
      <c r="B32" s="7"/>
      <c r="C32" s="7"/>
      <c r="D32" s="7"/>
      <c r="E32" s="7"/>
      <c r="R32" s="1"/>
      <c r="S32" s="1"/>
      <c r="T32" s="1"/>
      <c r="U32" s="1"/>
      <c r="V32" s="1"/>
      <c r="W32" s="1"/>
      <c r="X32" s="1"/>
      <c r="Y32" s="1"/>
      <c r="Z32" s="1"/>
    </row>
    <row r="33" spans="2:26" ht="12.75">
      <c r="B33" s="1"/>
      <c r="C33" s="1"/>
      <c r="D33" s="1"/>
      <c r="E33" s="1"/>
      <c r="R33" s="1"/>
      <c r="S33" s="1"/>
      <c r="T33" s="1"/>
      <c r="U33" s="1"/>
      <c r="V33" s="1"/>
      <c r="W33" s="1"/>
      <c r="X33" s="1"/>
      <c r="Y33" s="1"/>
      <c r="Z33" s="1"/>
    </row>
    <row r="34" spans="2:26" ht="12.75">
      <c r="B34" s="1"/>
      <c r="C34" s="1"/>
      <c r="D34" s="1"/>
      <c r="E34" s="1"/>
      <c r="R34" s="1"/>
      <c r="S34" s="1"/>
      <c r="T34" s="1"/>
      <c r="U34" s="1"/>
      <c r="V34" s="1"/>
      <c r="W34" s="1"/>
      <c r="X34" s="1"/>
      <c r="Y34" s="1"/>
      <c r="Z34" s="1"/>
    </row>
    <row r="35" spans="6:17" s="1" customFormat="1" ht="12.75">
      <c r="F35" s="33"/>
      <c r="G35" s="33"/>
      <c r="H35" s="33"/>
      <c r="I35" s="33"/>
      <c r="J35" s="33"/>
      <c r="K35" s="33"/>
      <c r="L35" s="33"/>
      <c r="M35" s="33"/>
      <c r="N35" s="33"/>
      <c r="O35" s="33"/>
      <c r="P35" s="33"/>
      <c r="Q35" s="33"/>
    </row>
    <row r="36" spans="6:17" s="1" customFormat="1" ht="12.75">
      <c r="F36" s="33"/>
      <c r="G36" s="33"/>
      <c r="H36" s="33"/>
      <c r="I36" s="33"/>
      <c r="J36" s="33"/>
      <c r="K36" s="33"/>
      <c r="L36" s="33"/>
      <c r="M36" s="33"/>
      <c r="N36" s="33"/>
      <c r="O36" s="33"/>
      <c r="P36" s="33"/>
      <c r="Q36" s="33"/>
    </row>
    <row r="37" spans="6:17" s="1" customFormat="1" ht="12.75">
      <c r="F37" s="33"/>
      <c r="G37" s="33"/>
      <c r="H37" s="33"/>
      <c r="I37" s="33"/>
      <c r="J37" s="33"/>
      <c r="K37" s="33"/>
      <c r="L37" s="33"/>
      <c r="M37" s="33"/>
      <c r="N37" s="33"/>
      <c r="O37" s="33"/>
      <c r="P37" s="33"/>
      <c r="Q37" s="33"/>
    </row>
    <row r="38" spans="6:17" s="1" customFormat="1" ht="12.75">
      <c r="F38" s="33"/>
      <c r="G38" s="33"/>
      <c r="H38" s="33"/>
      <c r="I38" s="33"/>
      <c r="J38" s="33"/>
      <c r="K38" s="33"/>
      <c r="L38" s="33"/>
      <c r="M38" s="33"/>
      <c r="N38" s="33"/>
      <c r="O38" s="33"/>
      <c r="P38" s="33"/>
      <c r="Q38" s="33"/>
    </row>
    <row r="39" spans="6:17" s="1" customFormat="1" ht="12.75">
      <c r="F39" s="33"/>
      <c r="G39" s="33"/>
      <c r="H39" s="33"/>
      <c r="I39" s="33"/>
      <c r="J39" s="33"/>
      <c r="K39" s="33"/>
      <c r="L39" s="33"/>
      <c r="M39" s="33"/>
      <c r="N39" s="33"/>
      <c r="O39" s="33"/>
      <c r="P39" s="33"/>
      <c r="Q39" s="33"/>
    </row>
    <row r="40" spans="2:26" ht="12.75">
      <c r="B40" s="1"/>
      <c r="C40" s="1"/>
      <c r="D40" s="1"/>
      <c r="E40" s="1"/>
      <c r="R40" s="1"/>
      <c r="S40" s="1"/>
      <c r="T40" s="1"/>
      <c r="U40" s="1"/>
      <c r="V40" s="1"/>
      <c r="W40" s="1"/>
      <c r="X40" s="1"/>
      <c r="Y40" s="1"/>
      <c r="Z40" s="1"/>
    </row>
    <row r="41" spans="2:26" ht="12.75">
      <c r="B41" s="1"/>
      <c r="C41" s="1"/>
      <c r="D41" s="1"/>
      <c r="E41" s="1"/>
      <c r="R41" s="1"/>
      <c r="S41" s="1"/>
      <c r="T41" s="1"/>
      <c r="U41" s="1"/>
      <c r="V41" s="1"/>
      <c r="W41" s="1"/>
      <c r="X41" s="1"/>
      <c r="Y41" s="1"/>
      <c r="Z41" s="1"/>
    </row>
    <row r="42" spans="2:26" ht="12.75">
      <c r="B42" s="1"/>
      <c r="C42" s="1"/>
      <c r="D42" s="1"/>
      <c r="E42" s="1"/>
      <c r="R42" s="1"/>
      <c r="S42" s="1"/>
      <c r="T42" s="1"/>
      <c r="U42" s="1"/>
      <c r="V42" s="1"/>
      <c r="W42" s="1"/>
      <c r="X42" s="1"/>
      <c r="Y42" s="1"/>
      <c r="Z42" s="1"/>
    </row>
    <row r="43" spans="2:26" ht="12.75">
      <c r="B43" s="1"/>
      <c r="C43" s="1"/>
      <c r="D43" s="1"/>
      <c r="E43" s="1"/>
      <c r="R43" s="1"/>
      <c r="S43" s="1"/>
      <c r="T43" s="1"/>
      <c r="U43" s="1"/>
      <c r="V43" s="1"/>
      <c r="W43" s="1"/>
      <c r="X43" s="1"/>
      <c r="Y43" s="1"/>
      <c r="Z43" s="1"/>
    </row>
    <row r="44" spans="2:26" ht="12.75">
      <c r="B44" s="1"/>
      <c r="C44" s="1"/>
      <c r="D44" s="1"/>
      <c r="E44" s="1"/>
      <c r="R44" s="1"/>
      <c r="S44" s="1"/>
      <c r="T44" s="1"/>
      <c r="U44" s="1"/>
      <c r="V44" s="1"/>
      <c r="W44" s="1"/>
      <c r="X44" s="1"/>
      <c r="Y44" s="1"/>
      <c r="Z44" s="1"/>
    </row>
    <row r="45" spans="2:26" ht="12.75">
      <c r="B45" s="1"/>
      <c r="C45" s="1"/>
      <c r="D45" s="1"/>
      <c r="E45" s="1"/>
      <c r="R45" s="1"/>
      <c r="S45" s="1"/>
      <c r="T45" s="1"/>
      <c r="U45" s="1"/>
      <c r="V45" s="1"/>
      <c r="W45" s="1"/>
      <c r="X45" s="1"/>
      <c r="Y45" s="1"/>
      <c r="Z45" s="1"/>
    </row>
    <row r="46" spans="2:26" ht="12.75">
      <c r="B46" s="1"/>
      <c r="C46" s="1"/>
      <c r="D46" s="1"/>
      <c r="E46" s="1"/>
      <c r="R46" s="1"/>
      <c r="S46" s="1"/>
      <c r="T46" s="1"/>
      <c r="U46" s="1"/>
      <c r="V46" s="1"/>
      <c r="W46" s="1"/>
      <c r="X46" s="1"/>
      <c r="Y46" s="1"/>
      <c r="Z46" s="1"/>
    </row>
    <row r="47" spans="2:26" ht="12.75">
      <c r="B47" s="1"/>
      <c r="C47" s="1"/>
      <c r="D47" s="1"/>
      <c r="E47" s="1"/>
      <c r="R47" s="1"/>
      <c r="S47" s="1"/>
      <c r="T47" s="1"/>
      <c r="U47" s="1"/>
      <c r="V47" s="1"/>
      <c r="W47" s="1"/>
      <c r="X47" s="1"/>
      <c r="Y47" s="1"/>
      <c r="Z47" s="1"/>
    </row>
    <row r="48" spans="2:26" ht="12.75">
      <c r="B48" s="1"/>
      <c r="C48" s="1"/>
      <c r="D48" s="1"/>
      <c r="E48" s="1"/>
      <c r="R48" s="1"/>
      <c r="S48" s="1"/>
      <c r="T48" s="1"/>
      <c r="U48" s="1"/>
      <c r="V48" s="1"/>
      <c r="W48" s="1"/>
      <c r="X48" s="1"/>
      <c r="Y48" s="1"/>
      <c r="Z48" s="1"/>
    </row>
    <row r="49" spans="18:26" ht="12.75">
      <c r="R49" s="1"/>
      <c r="S49" s="1"/>
      <c r="T49" s="1"/>
      <c r="U49" s="1"/>
      <c r="V49" s="1"/>
      <c r="W49" s="1"/>
      <c r="X49" s="1"/>
      <c r="Y49" s="1"/>
      <c r="Z49" s="1"/>
    </row>
    <row r="50" spans="18:26" ht="12.75">
      <c r="R50" s="1"/>
      <c r="S50" s="1"/>
      <c r="T50" s="1"/>
      <c r="U50" s="1"/>
      <c r="V50" s="1"/>
      <c r="W50" s="1"/>
      <c r="X50" s="1"/>
      <c r="Y50" s="1"/>
      <c r="Z50" s="1"/>
    </row>
    <row r="51" spans="18:26" ht="12.75">
      <c r="R51" s="1"/>
      <c r="S51" s="1"/>
      <c r="T51" s="1"/>
      <c r="U51" s="1"/>
      <c r="V51" s="1"/>
      <c r="W51" s="1"/>
      <c r="X51" s="1"/>
      <c r="Y51" s="1"/>
      <c r="Z51" s="1"/>
    </row>
  </sheetData>
  <sheetProtection password="EDCB" sheet="1" objects="1" scenarios="1" selectLockedCells="1"/>
  <dataValidations count="5">
    <dataValidation type="decimal" allowBlank="1" showInputMessage="1" showErrorMessage="1" prompt="Give the percentile of the outcome distribution that you want to assess" error="The value most be between 0 and 100" sqref="C12:C13">
      <formula1>0</formula1>
      <formula2>100</formula2>
    </dataValidation>
    <dataValidation type="whole" allowBlank="1" showInputMessage="1" showErrorMessage="1" prompt="Give the cumulative duration of spraying per shift in minutes; maximum = 540 minutes" error="You can only enter a value between 0 and 540" sqref="C17 C19">
      <formula1>0</formula1>
      <formula2>540</formula2>
    </dataValidation>
    <dataValidation type="list" allowBlank="1" showInputMessage="1" showErrorMessage="1" prompt="Select an option from the list" error="You can only select an option from the list" sqref="C7">
      <formula1>$G$7:$G$8</formula1>
    </dataValidation>
    <dataValidation type="list" allowBlank="1" showInputMessage="1" showErrorMessage="1" prompt="Select &quot;solid&quot; if the assessment is for a component incorporated in the treated solid object.&#10;Select &quot;liquid&quot; if the assessment is for a component in a metal working fluid (or other fluid) used in the process and emitted by the treatment of the objects." error="You can only select an option from the list" sqref="C5">
      <formula1>$G$5:$G$6</formula1>
    </dataValidation>
    <dataValidation type="list" allowBlank="1" showInputMessage="1" showErrorMessage="1" prompt="Select an option from the list" error="You can only select an option from the list" sqref="C9">
      <formula1>$G$9:$G$10</formula1>
    </dataValidation>
  </dataValidations>
  <printOptions/>
  <pageMargins left="0.75" right="0.75" top="1" bottom="1" header="0.5" footer="0.5"/>
  <pageSetup horizontalDpi="600" verticalDpi="600" orientation="landscape" paperSize="9" scale="89" r:id="rId4"/>
  <headerFooter alignWithMargins="0">
    <oddHeader>&amp;CDEO unit 6&amp;R&amp;D</oddHeader>
    <oddFooter>&amp;LRISKOFDERM Potential dermal exposure model; version 1.0; December 2003</oddFooter>
  </headerFooter>
  <drawing r:id="rId3"/>
  <legacyDrawing r:id="rId2"/>
</worksheet>
</file>

<file path=xl/worksheets/sheet15.xml><?xml version="1.0" encoding="utf-8"?>
<worksheet xmlns="http://schemas.openxmlformats.org/spreadsheetml/2006/main" xmlns:r="http://schemas.openxmlformats.org/officeDocument/2006/relationships">
  <sheetPr codeName="Sheet24"/>
  <dimension ref="A1:H25"/>
  <sheetViews>
    <sheetView showRowColHeaders="0" zoomScalePageLayoutView="0" workbookViewId="0" topLeftCell="A1">
      <selection activeCell="A1" sqref="A1"/>
    </sheetView>
  </sheetViews>
  <sheetFormatPr defaultColWidth="9.140625" defaultRowHeight="12.75"/>
  <cols>
    <col min="1" max="1" width="2.28125" style="0" customWidth="1"/>
    <col min="2" max="2" width="20.7109375" style="0" customWidth="1"/>
    <col min="3" max="3" width="20.8515625" style="0" customWidth="1"/>
    <col min="4" max="4" width="25.140625" style="0" customWidth="1"/>
    <col min="5" max="5" width="18.57421875" style="0" customWidth="1"/>
    <col min="6" max="6" width="17.7109375" style="0" customWidth="1"/>
  </cols>
  <sheetData>
    <row r="1" spans="1:5" ht="12.75">
      <c r="A1" s="251"/>
      <c r="B1" s="127" t="s">
        <v>368</v>
      </c>
      <c r="C1" s="270">
        <f>IF(ISBLANK(Name_scenario),"",Name_scenario)</f>
      </c>
      <c r="D1" s="274"/>
      <c r="E1" s="41" t="s">
        <v>371</v>
      </c>
    </row>
    <row r="2" spans="2:4" ht="8.25" customHeight="1">
      <c r="B2" s="20"/>
      <c r="C2" s="21"/>
      <c r="D2" s="128"/>
    </row>
    <row r="3" spans="2:4" ht="12.75">
      <c r="B3" s="354" t="s">
        <v>533</v>
      </c>
      <c r="C3" s="341"/>
      <c r="D3" s="129" t="str">
        <f>Immersion!C5</f>
        <v>Less than 30 cm</v>
      </c>
    </row>
    <row r="4" spans="2:4" ht="28.5" customHeight="1">
      <c r="B4" s="344" t="s">
        <v>569</v>
      </c>
      <c r="C4" s="345"/>
      <c r="D4" s="129" t="str">
        <f>Immersion!C8</f>
        <v>Yes</v>
      </c>
    </row>
    <row r="5" spans="2:5" ht="12.75">
      <c r="B5" s="125" t="s">
        <v>372</v>
      </c>
      <c r="C5" s="126"/>
      <c r="D5" s="130">
        <f>Immersion_cumulativeduration</f>
        <v>1</v>
      </c>
      <c r="E5" s="194">
        <f>Immersion!C17</f>
      </c>
    </row>
    <row r="6" spans="2:5" ht="12.75">
      <c r="B6" s="21"/>
      <c r="C6" s="21"/>
      <c r="D6" s="168"/>
      <c r="E6" s="122"/>
    </row>
    <row r="7" spans="2:5" ht="12.75">
      <c r="B7" s="192"/>
      <c r="C7" s="21"/>
      <c r="D7" s="168"/>
      <c r="E7" s="122"/>
    </row>
    <row r="8" ht="12.75">
      <c r="B8" s="123"/>
    </row>
    <row r="9" spans="2:7" ht="12.75">
      <c r="B9" s="266" t="s">
        <v>169</v>
      </c>
      <c r="C9" s="279"/>
      <c r="D9" s="266"/>
      <c r="E9" s="21"/>
      <c r="F9" s="21"/>
      <c r="G9" s="21"/>
    </row>
    <row r="10" spans="2:7" ht="12.75">
      <c r="B10" s="178"/>
      <c r="C10" s="279"/>
      <c r="D10" s="266"/>
      <c r="E10" s="21"/>
      <c r="F10" s="21"/>
      <c r="G10" s="21"/>
    </row>
    <row r="12" spans="2:6" ht="14.25">
      <c r="B12" s="124" t="s">
        <v>373</v>
      </c>
      <c r="C12" s="342" t="s">
        <v>331</v>
      </c>
      <c r="D12" s="343"/>
      <c r="E12" s="342" t="s">
        <v>332</v>
      </c>
      <c r="F12" s="343"/>
    </row>
    <row r="13" spans="2:6" ht="25.5">
      <c r="B13" s="131"/>
      <c r="C13" s="303" t="s">
        <v>348</v>
      </c>
      <c r="D13" s="306" t="s">
        <v>349</v>
      </c>
      <c r="E13" s="303" t="s">
        <v>350</v>
      </c>
      <c r="F13" s="305" t="s">
        <v>351</v>
      </c>
    </row>
    <row r="14" spans="2:7" ht="12.75">
      <c r="B14" s="137">
        <v>0.1</v>
      </c>
      <c r="C14" s="139"/>
      <c r="D14" s="135"/>
      <c r="E14" s="143">
        <f aca="true" t="shared" si="0" ref="E14:E24">LOGINV(B14,LN(Mechanical_treatment_medianbodyraterounded),LN(Mechanical_treatment_GSD))</f>
        <v>0.1435062507738599</v>
      </c>
      <c r="F14" s="132">
        <f aca="true" t="shared" si="1" ref="F14:F24">E14*Mechanical_treatment_cumulativeduration</f>
        <v>0.1435062507738599</v>
      </c>
      <c r="G14" s="167">
        <f aca="true" t="shared" si="2" ref="G14:G24">IF(D14&gt;820*12,"May be unrealistic",IF(F14&gt;18720*12,"May be unrealistic",""))</f>
      </c>
    </row>
    <row r="15" spans="2:8" ht="12.75">
      <c r="B15" s="137">
        <v>0.2</v>
      </c>
      <c r="C15" s="139"/>
      <c r="D15" s="135"/>
      <c r="E15" s="144">
        <f t="shared" si="0"/>
        <v>0.28874136742305956</v>
      </c>
      <c r="F15" s="133">
        <f t="shared" si="1"/>
        <v>0.28874136742305956</v>
      </c>
      <c r="G15" s="167">
        <f t="shared" si="2"/>
      </c>
      <c r="H15" s="21"/>
    </row>
    <row r="16" spans="2:8" ht="12.75">
      <c r="B16" s="137">
        <v>0.3</v>
      </c>
      <c r="C16" s="139"/>
      <c r="D16" s="135"/>
      <c r="E16" s="144">
        <f t="shared" si="0"/>
        <v>0.4780281884520279</v>
      </c>
      <c r="F16" s="133">
        <f t="shared" si="1"/>
        <v>0.4780281884520279</v>
      </c>
      <c r="G16" s="167">
        <f t="shared" si="2"/>
      </c>
      <c r="H16" s="21"/>
    </row>
    <row r="17" spans="2:8" ht="12.75">
      <c r="B17" s="137">
        <v>0.4</v>
      </c>
      <c r="C17" s="139"/>
      <c r="D17" s="135"/>
      <c r="E17" s="144">
        <f t="shared" si="0"/>
        <v>0.7354167338508435</v>
      </c>
      <c r="F17" s="133">
        <f t="shared" si="1"/>
        <v>0.7354167338508435</v>
      </c>
      <c r="G17" s="167">
        <f t="shared" si="2"/>
      </c>
      <c r="H17" s="21"/>
    </row>
    <row r="18" spans="2:8" ht="12.75">
      <c r="B18" s="137">
        <v>0.5</v>
      </c>
      <c r="C18" s="139"/>
      <c r="D18" s="135"/>
      <c r="E18" s="144">
        <f t="shared" si="0"/>
        <v>1.1</v>
      </c>
      <c r="F18" s="133">
        <f t="shared" si="1"/>
        <v>1.1</v>
      </c>
      <c r="G18" s="167">
        <f t="shared" si="2"/>
      </c>
      <c r="H18" s="21"/>
    </row>
    <row r="19" spans="2:8" ht="12.75">
      <c r="B19" s="137">
        <v>0.6</v>
      </c>
      <c r="C19" s="139"/>
      <c r="D19" s="135"/>
      <c r="E19" s="144">
        <f t="shared" si="0"/>
        <v>1.6453256287276858</v>
      </c>
      <c r="F19" s="133">
        <f t="shared" si="1"/>
        <v>1.6453256287276858</v>
      </c>
      <c r="G19" s="167">
        <f t="shared" si="2"/>
      </c>
      <c r="H19" s="21"/>
    </row>
    <row r="20" spans="2:8" ht="12.75">
      <c r="B20" s="137">
        <v>0.7</v>
      </c>
      <c r="C20" s="139"/>
      <c r="D20" s="135"/>
      <c r="E20" s="144">
        <f t="shared" si="0"/>
        <v>2.531231482223413</v>
      </c>
      <c r="F20" s="133">
        <f t="shared" si="1"/>
        <v>2.531231482223413</v>
      </c>
      <c r="G20" s="167">
        <f t="shared" si="2"/>
      </c>
      <c r="H20" s="21"/>
    </row>
    <row r="21" spans="2:8" ht="12.75">
      <c r="B21" s="137">
        <v>0.8</v>
      </c>
      <c r="C21" s="139"/>
      <c r="D21" s="135"/>
      <c r="E21" s="144">
        <f t="shared" si="0"/>
        <v>4.190601474249885</v>
      </c>
      <c r="F21" s="133">
        <f t="shared" si="1"/>
        <v>4.190601474249885</v>
      </c>
      <c r="G21" s="167">
        <f t="shared" si="2"/>
      </c>
      <c r="H21" s="21"/>
    </row>
    <row r="22" spans="2:8" ht="12.75">
      <c r="B22" s="137">
        <v>0.9</v>
      </c>
      <c r="C22" s="139"/>
      <c r="D22" s="135"/>
      <c r="E22" s="144">
        <f t="shared" si="0"/>
        <v>8.431688469840543</v>
      </c>
      <c r="F22" s="133">
        <f t="shared" si="1"/>
        <v>8.431688469840543</v>
      </c>
      <c r="G22" s="167">
        <f t="shared" si="2"/>
      </c>
      <c r="H22" s="21"/>
    </row>
    <row r="23" spans="2:8" ht="12.75">
      <c r="B23" s="137">
        <v>0.95</v>
      </c>
      <c r="C23" s="139"/>
      <c r="D23" s="135"/>
      <c r="E23" s="144">
        <f t="shared" si="0"/>
        <v>15.019802108046965</v>
      </c>
      <c r="F23" s="133">
        <f t="shared" si="1"/>
        <v>15.019802108046965</v>
      </c>
      <c r="G23" s="167">
        <f t="shared" si="2"/>
      </c>
      <c r="H23" s="21"/>
    </row>
    <row r="24" spans="2:8" ht="12.75">
      <c r="B24" s="138">
        <v>0.99</v>
      </c>
      <c r="C24" s="140"/>
      <c r="D24" s="134"/>
      <c r="E24" s="145">
        <f t="shared" si="0"/>
        <v>44.36381326502566</v>
      </c>
      <c r="F24" s="134">
        <f t="shared" si="1"/>
        <v>44.36381326502566</v>
      </c>
      <c r="G24" s="167">
        <f t="shared" si="2"/>
      </c>
      <c r="H24" s="21"/>
    </row>
    <row r="25" spans="2:6" ht="12.75">
      <c r="B25" s="175"/>
      <c r="C25" s="176"/>
      <c r="D25" s="177"/>
      <c r="E25" s="178"/>
      <c r="F25" s="177"/>
    </row>
  </sheetData>
  <sheetProtection password="EDCB" sheet="1" objects="1" scenarios="1" selectLockedCells="1"/>
  <mergeCells count="4">
    <mergeCell ref="B3:C3"/>
    <mergeCell ref="C12:D12"/>
    <mergeCell ref="E12:F12"/>
    <mergeCell ref="B4:C4"/>
  </mergeCells>
  <conditionalFormatting sqref="C25">
    <cfRule type="cellIs" priority="1" dxfId="2" operator="greaterThan" stopIfTrue="1">
      <formula>"820*10"</formula>
    </cfRule>
  </conditionalFormatting>
  <conditionalFormatting sqref="D25">
    <cfRule type="cellIs" priority="2" dxfId="2" operator="greaterThan" stopIfTrue="1">
      <formula>820*12</formula>
    </cfRule>
  </conditionalFormatting>
  <conditionalFormatting sqref="F14:F24">
    <cfRule type="cellIs" priority="3" dxfId="0" operator="greaterThan" stopIfTrue="1">
      <formula>18720*12</formula>
    </cfRule>
  </conditionalFormatting>
  <conditionalFormatting sqref="D14:D24">
    <cfRule type="cellIs" priority="4" dxfId="0" operator="greaterThan" stopIfTrue="1">
      <formula>820*12</formula>
    </cfRule>
  </conditionalFormatting>
  <printOptions/>
  <pageMargins left="0.75" right="0.75" top="1" bottom="1" header="0.5" footer="0.5"/>
  <pageSetup horizontalDpi="600" verticalDpi="600" orientation="landscape" paperSize="9" r:id="rId2"/>
  <headerFooter alignWithMargins="0">
    <oddHeader>&amp;L&amp;D&amp;C&amp;F&amp;RPage &amp;P</oddHeader>
    <oddFooter>&amp;L&amp;A</oddFooter>
  </headerFooter>
  <rowBreaks count="1" manualBreakCount="1">
    <brk id="25" max="255" man="1"/>
  </rowBreaks>
  <drawing r:id="rId1"/>
</worksheet>
</file>

<file path=xl/worksheets/sheet16.xml><?xml version="1.0" encoding="utf-8"?>
<worksheet xmlns="http://schemas.openxmlformats.org/spreadsheetml/2006/main" xmlns:r="http://schemas.openxmlformats.org/officeDocument/2006/relationships">
  <sheetPr codeName="Sheet14"/>
  <dimension ref="A1:AI121"/>
  <sheetViews>
    <sheetView showRowColHeaders="0" zoomScale="75" zoomScaleNormal="75" zoomScalePageLayoutView="0" workbookViewId="0" topLeftCell="C1">
      <selection activeCell="G8" sqref="G8"/>
    </sheetView>
  </sheetViews>
  <sheetFormatPr defaultColWidth="23.28125" defaultRowHeight="12.75"/>
  <cols>
    <col min="1" max="1" width="23.28125" style="0" customWidth="1"/>
    <col min="2" max="2" width="44.140625" style="0" bestFit="1" customWidth="1"/>
    <col min="3" max="3" width="23.28125" style="0" customWidth="1"/>
    <col min="4" max="4" width="23.28125" style="94" customWidth="1"/>
  </cols>
  <sheetData>
    <row r="1" spans="1:35" ht="12.75">
      <c r="A1" s="32"/>
      <c r="B1" s="253" t="s">
        <v>584</v>
      </c>
      <c r="C1" s="32"/>
      <c r="D1" s="254" t="s">
        <v>903</v>
      </c>
      <c r="E1" s="32"/>
      <c r="F1" s="253" t="s">
        <v>585</v>
      </c>
      <c r="G1" s="32"/>
      <c r="H1" s="32"/>
      <c r="I1" s="32"/>
      <c r="J1" s="253" t="s">
        <v>586</v>
      </c>
      <c r="K1" s="32"/>
      <c r="L1" s="32"/>
      <c r="M1" s="32"/>
      <c r="N1" s="253" t="s">
        <v>587</v>
      </c>
      <c r="O1" s="32"/>
      <c r="P1" s="32"/>
      <c r="Q1" s="32"/>
      <c r="R1" s="253" t="s">
        <v>588</v>
      </c>
      <c r="S1" s="32"/>
      <c r="T1" s="32"/>
      <c r="U1" s="32"/>
      <c r="V1" s="253" t="s">
        <v>589</v>
      </c>
      <c r="W1" s="32"/>
      <c r="X1" s="32"/>
      <c r="Y1" s="32"/>
      <c r="Z1" s="32" t="s">
        <v>337</v>
      </c>
      <c r="AA1" s="32"/>
      <c r="AB1" s="32"/>
      <c r="AC1" s="32"/>
      <c r="AD1" s="32" t="s">
        <v>699</v>
      </c>
      <c r="AE1" s="32"/>
      <c r="AF1" s="32"/>
      <c r="AG1" s="32"/>
      <c r="AH1" s="32"/>
      <c r="AI1" s="32"/>
    </row>
    <row r="2" spans="1:35" ht="12.75">
      <c r="A2" s="32"/>
      <c r="B2" s="253" t="s">
        <v>590</v>
      </c>
      <c r="C2" s="32" t="s">
        <v>578</v>
      </c>
      <c r="D2" s="254" t="s">
        <v>591</v>
      </c>
      <c r="E2" s="32" t="s">
        <v>592</v>
      </c>
      <c r="F2" s="253" t="s">
        <v>590</v>
      </c>
      <c r="G2" s="32" t="s">
        <v>578</v>
      </c>
      <c r="H2" s="32" t="s">
        <v>591</v>
      </c>
      <c r="I2" s="32" t="s">
        <v>592</v>
      </c>
      <c r="J2" s="253" t="s">
        <v>590</v>
      </c>
      <c r="K2" s="32" t="s">
        <v>578</v>
      </c>
      <c r="L2" s="32" t="s">
        <v>591</v>
      </c>
      <c r="M2" s="32" t="s">
        <v>592</v>
      </c>
      <c r="N2" s="253" t="s">
        <v>590</v>
      </c>
      <c r="O2" s="32" t="s">
        <v>578</v>
      </c>
      <c r="P2" s="32" t="s">
        <v>591</v>
      </c>
      <c r="Q2" s="32" t="s">
        <v>592</v>
      </c>
      <c r="R2" s="253" t="s">
        <v>590</v>
      </c>
      <c r="S2" s="32" t="s">
        <v>578</v>
      </c>
      <c r="T2" s="32" t="s">
        <v>591</v>
      </c>
      <c r="U2" s="32" t="s">
        <v>592</v>
      </c>
      <c r="V2" s="253" t="s">
        <v>590</v>
      </c>
      <c r="W2" s="32" t="s">
        <v>578</v>
      </c>
      <c r="X2" s="32" t="s">
        <v>591</v>
      </c>
      <c r="Y2" s="32" t="s">
        <v>592</v>
      </c>
      <c r="Z2" s="32" t="s">
        <v>590</v>
      </c>
      <c r="AA2" s="32" t="s">
        <v>578</v>
      </c>
      <c r="AB2" s="32" t="s">
        <v>591</v>
      </c>
      <c r="AC2" s="32" t="s">
        <v>592</v>
      </c>
      <c r="AD2" s="32"/>
      <c r="AE2" s="32"/>
      <c r="AF2" s="32"/>
      <c r="AG2" s="32"/>
      <c r="AH2" s="32"/>
      <c r="AI2" s="32"/>
    </row>
    <row r="3" spans="1:35" ht="12.75">
      <c r="A3" s="32"/>
      <c r="B3" s="253"/>
      <c r="C3" s="32"/>
      <c r="D3" s="254"/>
      <c r="E3" s="32"/>
      <c r="F3" s="253"/>
      <c r="G3" s="32"/>
      <c r="H3" s="32"/>
      <c r="I3" s="32"/>
      <c r="J3" s="253"/>
      <c r="K3" s="32"/>
      <c r="L3" s="32"/>
      <c r="M3" s="32"/>
      <c r="N3" s="253"/>
      <c r="O3" s="32"/>
      <c r="P3" s="32"/>
      <c r="Q3" s="32"/>
      <c r="R3" s="253"/>
      <c r="S3" s="32"/>
      <c r="T3" s="32"/>
      <c r="U3" s="32"/>
      <c r="V3" s="253"/>
      <c r="W3" s="32"/>
      <c r="X3" s="32"/>
      <c r="Y3" s="32"/>
      <c r="Z3" s="32"/>
      <c r="AA3" s="32"/>
      <c r="AB3" s="32"/>
      <c r="AC3" s="32"/>
      <c r="AD3" s="32"/>
      <c r="AE3" s="32"/>
      <c r="AF3" s="32"/>
      <c r="AG3" s="32"/>
      <c r="AH3" s="32"/>
      <c r="AI3" s="32"/>
    </row>
    <row r="4" spans="1:35" ht="12.75">
      <c r="A4" s="32" t="s">
        <v>593</v>
      </c>
      <c r="B4" s="253" t="s">
        <v>905</v>
      </c>
      <c r="C4" s="32">
        <v>0.33</v>
      </c>
      <c r="D4" s="254"/>
      <c r="E4" s="32"/>
      <c r="F4" s="253" t="s">
        <v>922</v>
      </c>
      <c r="G4" s="32">
        <v>815</v>
      </c>
      <c r="H4" s="32"/>
      <c r="I4" s="32"/>
      <c r="J4" s="253" t="s">
        <v>122</v>
      </c>
      <c r="K4" s="32">
        <v>60.9</v>
      </c>
      <c r="L4" s="32"/>
      <c r="M4" s="32"/>
      <c r="N4" s="253" t="s">
        <v>941</v>
      </c>
      <c r="O4" s="32">
        <v>24</v>
      </c>
      <c r="P4" s="32"/>
      <c r="Q4" s="32"/>
      <c r="R4" s="253" t="s">
        <v>721</v>
      </c>
      <c r="S4" s="32">
        <v>7.72</v>
      </c>
      <c r="T4" s="32"/>
      <c r="U4" s="32"/>
      <c r="V4" s="253" t="s">
        <v>663</v>
      </c>
      <c r="W4" s="255">
        <v>14.8</v>
      </c>
      <c r="X4" s="32"/>
      <c r="Y4" s="32"/>
      <c r="Z4" s="32" t="s">
        <v>338</v>
      </c>
      <c r="AA4" s="32"/>
      <c r="AB4" s="32" t="s">
        <v>362</v>
      </c>
      <c r="AC4" s="32" t="s">
        <v>344</v>
      </c>
      <c r="AD4" s="32">
        <v>1E-06</v>
      </c>
      <c r="AE4" s="32"/>
      <c r="AF4" s="32"/>
      <c r="AG4" s="32"/>
      <c r="AH4" s="32"/>
      <c r="AI4" s="32"/>
    </row>
    <row r="5" spans="1:35" ht="12.75">
      <c r="A5" s="32"/>
      <c r="B5" s="253"/>
      <c r="C5" s="32"/>
      <c r="D5" s="254"/>
      <c r="E5" s="32"/>
      <c r="F5" s="253"/>
      <c r="G5" s="32"/>
      <c r="H5" s="32"/>
      <c r="I5" s="32"/>
      <c r="J5" s="253"/>
      <c r="K5" s="32"/>
      <c r="L5" s="32"/>
      <c r="M5" s="32"/>
      <c r="N5" s="253"/>
      <c r="O5" s="32"/>
      <c r="P5" s="32"/>
      <c r="Q5" s="32"/>
      <c r="R5" s="253"/>
      <c r="S5" s="32"/>
      <c r="T5" s="32"/>
      <c r="U5" s="32"/>
      <c r="V5" s="253"/>
      <c r="W5" s="32"/>
      <c r="X5" s="32"/>
      <c r="Y5" s="32"/>
      <c r="Z5" s="32" t="s">
        <v>339</v>
      </c>
      <c r="AA5" s="32"/>
      <c r="AB5" s="32" t="s">
        <v>363</v>
      </c>
      <c r="AC5" s="32" t="s">
        <v>345</v>
      </c>
      <c r="AD5" s="32">
        <v>1E-05</v>
      </c>
      <c r="AE5" s="32"/>
      <c r="AF5" s="32"/>
      <c r="AG5" s="32"/>
      <c r="AH5" s="32"/>
      <c r="AI5" s="32"/>
    </row>
    <row r="6" spans="1:35" ht="12.75">
      <c r="A6" s="32" t="s">
        <v>583</v>
      </c>
      <c r="B6" s="253" t="s">
        <v>906</v>
      </c>
      <c r="C6" s="32">
        <v>5.4</v>
      </c>
      <c r="D6" s="254"/>
      <c r="E6" s="32"/>
      <c r="F6" s="253" t="s">
        <v>289</v>
      </c>
      <c r="G6" s="32">
        <v>3.5</v>
      </c>
      <c r="H6" s="32"/>
      <c r="I6" s="32" t="s">
        <v>289</v>
      </c>
      <c r="J6" s="253" t="s">
        <v>218</v>
      </c>
      <c r="K6" s="32">
        <v>11.2</v>
      </c>
      <c r="L6" s="32"/>
      <c r="M6" s="32"/>
      <c r="N6" s="253" t="s">
        <v>942</v>
      </c>
      <c r="O6" s="32">
        <v>6</v>
      </c>
      <c r="P6" s="32"/>
      <c r="Q6" s="32"/>
      <c r="R6" s="253" t="s">
        <v>722</v>
      </c>
      <c r="S6" s="32"/>
      <c r="T6" s="32"/>
      <c r="U6" s="32"/>
      <c r="V6" s="253" t="s">
        <v>598</v>
      </c>
      <c r="W6" s="255">
        <v>4.9</v>
      </c>
      <c r="X6" s="32"/>
      <c r="Y6" s="32"/>
      <c r="Z6" s="32" t="s">
        <v>340</v>
      </c>
      <c r="AA6" s="32"/>
      <c r="AB6" s="32" t="s">
        <v>364</v>
      </c>
      <c r="AC6" s="32" t="s">
        <v>358</v>
      </c>
      <c r="AD6" s="32">
        <v>0.0001</v>
      </c>
      <c r="AE6" s="32"/>
      <c r="AF6" s="32"/>
      <c r="AG6" s="32"/>
      <c r="AH6" s="32"/>
      <c r="AI6" s="32"/>
    </row>
    <row r="7" spans="1:35" ht="12.75">
      <c r="A7" s="32"/>
      <c r="B7" s="253"/>
      <c r="C7" s="32"/>
      <c r="D7" s="254"/>
      <c r="E7" s="32"/>
      <c r="F7" s="253" t="s">
        <v>290</v>
      </c>
      <c r="G7" s="32">
        <v>5.8</v>
      </c>
      <c r="H7" s="32"/>
      <c r="I7" s="32" t="s">
        <v>290</v>
      </c>
      <c r="J7" s="253" t="s">
        <v>219</v>
      </c>
      <c r="K7" s="32">
        <v>5.9</v>
      </c>
      <c r="L7" s="32"/>
      <c r="M7" s="32"/>
      <c r="N7" s="253"/>
      <c r="O7" s="32"/>
      <c r="P7" s="32"/>
      <c r="Q7" s="32"/>
      <c r="R7" s="253"/>
      <c r="S7" s="32"/>
      <c r="T7" s="32"/>
      <c r="U7" s="32"/>
      <c r="V7" s="253"/>
      <c r="W7" s="32"/>
      <c r="X7" s="32"/>
      <c r="Y7" s="32"/>
      <c r="Z7" s="32" t="s">
        <v>341</v>
      </c>
      <c r="AA7" s="32"/>
      <c r="AB7" s="32" t="s">
        <v>365</v>
      </c>
      <c r="AC7" s="32" t="s">
        <v>359</v>
      </c>
      <c r="AD7" s="32">
        <v>0.001</v>
      </c>
      <c r="AE7" s="32"/>
      <c r="AF7" s="32"/>
      <c r="AG7" s="32"/>
      <c r="AH7" s="32"/>
      <c r="AI7" s="32"/>
    </row>
    <row r="8" spans="1:35" ht="12.75">
      <c r="A8" s="32" t="s">
        <v>594</v>
      </c>
      <c r="B8" s="253" t="s">
        <v>915</v>
      </c>
      <c r="C8" s="32"/>
      <c r="D8" s="254"/>
      <c r="E8" s="32" t="s">
        <v>432</v>
      </c>
      <c r="F8" s="253" t="s">
        <v>925</v>
      </c>
      <c r="G8" s="32"/>
      <c r="H8" s="32"/>
      <c r="I8" s="32" t="s">
        <v>467</v>
      </c>
      <c r="J8" s="253" t="s">
        <v>123</v>
      </c>
      <c r="K8" s="32">
        <v>1</v>
      </c>
      <c r="L8" s="32" t="s">
        <v>820</v>
      </c>
      <c r="M8" s="32" t="s">
        <v>124</v>
      </c>
      <c r="N8" s="253" t="s">
        <v>0</v>
      </c>
      <c r="O8" s="32">
        <v>2.8</v>
      </c>
      <c r="P8" s="32" t="s">
        <v>701</v>
      </c>
      <c r="Q8" s="32" t="s">
        <v>1</v>
      </c>
      <c r="R8" s="253" t="s">
        <v>723</v>
      </c>
      <c r="S8" s="32"/>
      <c r="T8" s="32"/>
      <c r="U8" s="32" t="s">
        <v>724</v>
      </c>
      <c r="V8" s="253" t="s">
        <v>599</v>
      </c>
      <c r="W8" s="32"/>
      <c r="X8" s="32"/>
      <c r="Y8" s="32" t="s">
        <v>600</v>
      </c>
      <c r="Z8" s="32" t="s">
        <v>342</v>
      </c>
      <c r="AA8" s="32"/>
      <c r="AB8" s="32" t="s">
        <v>366</v>
      </c>
      <c r="AC8" s="32" t="s">
        <v>360</v>
      </c>
      <c r="AD8" s="32">
        <v>0.01</v>
      </c>
      <c r="AE8" s="32"/>
      <c r="AF8" s="32"/>
      <c r="AG8" s="32"/>
      <c r="AH8" s="32"/>
      <c r="AI8" s="32"/>
    </row>
    <row r="9" spans="1:35" ht="12.75">
      <c r="A9" s="32"/>
      <c r="B9" s="253" t="s">
        <v>916</v>
      </c>
      <c r="C9" s="32"/>
      <c r="D9" s="254"/>
      <c r="E9" s="32" t="s">
        <v>433</v>
      </c>
      <c r="F9" s="253" t="s">
        <v>926</v>
      </c>
      <c r="G9" s="32"/>
      <c r="H9" s="32"/>
      <c r="I9" s="32" t="s">
        <v>468</v>
      </c>
      <c r="J9" s="253" t="s">
        <v>125</v>
      </c>
      <c r="K9" s="32">
        <v>0.059</v>
      </c>
      <c r="L9" s="32" t="s">
        <v>543</v>
      </c>
      <c r="M9" s="32" t="s">
        <v>126</v>
      </c>
      <c r="N9" s="253" t="s">
        <v>2</v>
      </c>
      <c r="O9" s="32">
        <v>1</v>
      </c>
      <c r="P9" s="32" t="s">
        <v>700</v>
      </c>
      <c r="Q9" s="32" t="s">
        <v>3</v>
      </c>
      <c r="R9" s="253" t="s">
        <v>725</v>
      </c>
      <c r="S9" s="32"/>
      <c r="T9" s="32"/>
      <c r="U9" s="32" t="s">
        <v>726</v>
      </c>
      <c r="V9" s="253" t="s">
        <v>601</v>
      </c>
      <c r="W9" s="32"/>
      <c r="X9" s="32"/>
      <c r="Y9" s="32" t="s">
        <v>602</v>
      </c>
      <c r="Z9" s="32" t="s">
        <v>343</v>
      </c>
      <c r="AA9" s="32"/>
      <c r="AB9" s="32" t="s">
        <v>367</v>
      </c>
      <c r="AC9" s="32" t="s">
        <v>361</v>
      </c>
      <c r="AD9" s="32"/>
      <c r="AE9" s="32"/>
      <c r="AF9" s="32"/>
      <c r="AG9" s="32"/>
      <c r="AH9" s="32"/>
      <c r="AI9" s="32"/>
    </row>
    <row r="10" spans="1:35" ht="12.75">
      <c r="A10" s="32"/>
      <c r="B10" s="253" t="s">
        <v>917</v>
      </c>
      <c r="C10" s="32"/>
      <c r="D10" s="254"/>
      <c r="E10" s="32" t="s">
        <v>434</v>
      </c>
      <c r="F10" s="253" t="s">
        <v>927</v>
      </c>
      <c r="G10" s="32"/>
      <c r="H10" s="32"/>
      <c r="I10" s="32" t="s">
        <v>469</v>
      </c>
      <c r="J10" s="253" t="s">
        <v>127</v>
      </c>
      <c r="K10" s="32"/>
      <c r="L10" s="32"/>
      <c r="M10" s="32" t="s">
        <v>128</v>
      </c>
      <c r="N10" s="253" t="s">
        <v>4</v>
      </c>
      <c r="O10" s="32">
        <v>0.468</v>
      </c>
      <c r="P10" s="32" t="s">
        <v>543</v>
      </c>
      <c r="Q10" s="32" t="s">
        <v>5</v>
      </c>
      <c r="R10" s="253" t="s">
        <v>727</v>
      </c>
      <c r="S10" s="32"/>
      <c r="T10" s="32"/>
      <c r="U10" s="32" t="s">
        <v>728</v>
      </c>
      <c r="V10" s="253" t="s">
        <v>603</v>
      </c>
      <c r="W10" s="32"/>
      <c r="X10" s="32"/>
      <c r="Y10" s="32" t="s">
        <v>604</v>
      </c>
      <c r="Z10" s="32"/>
      <c r="AA10" s="32"/>
      <c r="AB10" s="32"/>
      <c r="AC10" s="32"/>
      <c r="AD10" s="32">
        <v>0.1</v>
      </c>
      <c r="AE10" s="32"/>
      <c r="AF10" s="32"/>
      <c r="AG10" s="32"/>
      <c r="AH10" s="32"/>
      <c r="AI10" s="32"/>
    </row>
    <row r="11" spans="1:35" ht="12.75">
      <c r="A11" s="32" t="s">
        <v>702</v>
      </c>
      <c r="B11" s="253" t="s">
        <v>918</v>
      </c>
      <c r="C11" s="32"/>
      <c r="D11" s="254"/>
      <c r="E11" s="32" t="s">
        <v>435</v>
      </c>
      <c r="F11" s="253" t="s">
        <v>928</v>
      </c>
      <c r="G11" s="32"/>
      <c r="H11" s="32"/>
      <c r="I11" s="32" t="s">
        <v>470</v>
      </c>
      <c r="J11" s="253" t="s">
        <v>129</v>
      </c>
      <c r="K11" s="32"/>
      <c r="L11" s="32"/>
      <c r="M11" s="32" t="s">
        <v>130</v>
      </c>
      <c r="N11" s="253" t="s">
        <v>6</v>
      </c>
      <c r="O11" s="32">
        <v>0.232</v>
      </c>
      <c r="P11" s="32" t="s">
        <v>703</v>
      </c>
      <c r="Q11" s="32" t="s">
        <v>7</v>
      </c>
      <c r="R11" s="253" t="s">
        <v>729</v>
      </c>
      <c r="S11" s="32">
        <v>5.41</v>
      </c>
      <c r="T11" s="32" t="s">
        <v>704</v>
      </c>
      <c r="U11" s="32" t="s">
        <v>730</v>
      </c>
      <c r="V11" s="253" t="s">
        <v>605</v>
      </c>
      <c r="W11" s="32">
        <v>1</v>
      </c>
      <c r="X11" s="32" t="s">
        <v>705</v>
      </c>
      <c r="Y11" s="32" t="s">
        <v>606</v>
      </c>
      <c r="Z11" s="32"/>
      <c r="AA11" s="32"/>
      <c r="AB11" s="32"/>
      <c r="AC11" s="32"/>
      <c r="AD11" s="32">
        <v>1</v>
      </c>
      <c r="AE11" s="32"/>
      <c r="AF11" s="32"/>
      <c r="AG11" s="32"/>
      <c r="AH11" s="32"/>
      <c r="AI11" s="32"/>
    </row>
    <row r="12" spans="1:35" ht="12.75">
      <c r="A12" s="32"/>
      <c r="B12" s="253" t="s">
        <v>919</v>
      </c>
      <c r="C12" s="32"/>
      <c r="D12" s="254"/>
      <c r="E12" s="32" t="s">
        <v>436</v>
      </c>
      <c r="F12" s="253" t="s">
        <v>929</v>
      </c>
      <c r="G12" s="32"/>
      <c r="H12" s="32"/>
      <c r="I12" s="32" t="s">
        <v>471</v>
      </c>
      <c r="J12" s="253" t="s">
        <v>131</v>
      </c>
      <c r="K12" s="32"/>
      <c r="L12" s="32"/>
      <c r="M12" s="32" t="s">
        <v>132</v>
      </c>
      <c r="N12" s="253" t="s">
        <v>8</v>
      </c>
      <c r="O12" s="32">
        <v>1</v>
      </c>
      <c r="P12" s="32" t="s">
        <v>548</v>
      </c>
      <c r="Q12" s="32" t="s">
        <v>9</v>
      </c>
      <c r="R12" s="253" t="s">
        <v>731</v>
      </c>
      <c r="S12" s="32">
        <v>1</v>
      </c>
      <c r="T12" s="32" t="s">
        <v>568</v>
      </c>
      <c r="U12" s="32" t="s">
        <v>732</v>
      </c>
      <c r="V12" s="253" t="s">
        <v>607</v>
      </c>
      <c r="W12" s="32">
        <v>0.2</v>
      </c>
      <c r="X12" s="32" t="s">
        <v>536</v>
      </c>
      <c r="Y12" s="32" t="s">
        <v>608</v>
      </c>
      <c r="Z12" s="32"/>
      <c r="AA12" s="32"/>
      <c r="AB12" s="32"/>
      <c r="AC12" s="32"/>
      <c r="AD12" s="32">
        <v>10</v>
      </c>
      <c r="AE12" s="32"/>
      <c r="AF12" s="32"/>
      <c r="AG12" s="32"/>
      <c r="AH12" s="32"/>
      <c r="AI12" s="32"/>
    </row>
    <row r="13" spans="1:35" ht="12.75">
      <c r="A13" s="32"/>
      <c r="B13" s="253" t="s">
        <v>920</v>
      </c>
      <c r="C13" s="32"/>
      <c r="D13" s="254"/>
      <c r="E13" s="32" t="s">
        <v>437</v>
      </c>
      <c r="F13" s="253" t="s">
        <v>930</v>
      </c>
      <c r="G13" s="32"/>
      <c r="H13" s="32"/>
      <c r="I13" s="32" t="s">
        <v>472</v>
      </c>
      <c r="J13" s="253" t="s">
        <v>133</v>
      </c>
      <c r="K13" s="32"/>
      <c r="L13" s="32"/>
      <c r="M13" s="32" t="s">
        <v>134</v>
      </c>
      <c r="N13" s="253" t="s">
        <v>10</v>
      </c>
      <c r="O13" s="32"/>
      <c r="P13" s="32"/>
      <c r="Q13" s="32" t="s">
        <v>11</v>
      </c>
      <c r="R13" s="253" t="s">
        <v>733</v>
      </c>
      <c r="S13" s="32">
        <v>0.194</v>
      </c>
      <c r="T13" s="32" t="s">
        <v>703</v>
      </c>
      <c r="U13" s="32" t="s">
        <v>734</v>
      </c>
      <c r="V13" s="253" t="s">
        <v>609</v>
      </c>
      <c r="W13" s="32"/>
      <c r="X13" s="32"/>
      <c r="Y13" s="32" t="s">
        <v>610</v>
      </c>
      <c r="Z13" s="32"/>
      <c r="AA13" s="32"/>
      <c r="AB13" s="32"/>
      <c r="AC13" s="32"/>
      <c r="AD13" s="32">
        <v>100</v>
      </c>
      <c r="AE13" s="32"/>
      <c r="AF13" s="32"/>
      <c r="AG13" s="32"/>
      <c r="AH13" s="32"/>
      <c r="AI13" s="32"/>
    </row>
    <row r="14" spans="1:35" ht="12.75">
      <c r="A14" s="32" t="s">
        <v>706</v>
      </c>
      <c r="B14" s="253" t="s">
        <v>921</v>
      </c>
      <c r="C14" s="32">
        <v>0.93</v>
      </c>
      <c r="D14" s="254"/>
      <c r="E14" s="32" t="s">
        <v>438</v>
      </c>
      <c r="F14" s="253" t="s">
        <v>291</v>
      </c>
      <c r="G14" s="32">
        <v>0.378</v>
      </c>
      <c r="H14" s="32"/>
      <c r="I14" s="32" t="s">
        <v>291</v>
      </c>
      <c r="J14" s="253" t="s">
        <v>220</v>
      </c>
      <c r="K14" s="32">
        <v>1.184</v>
      </c>
      <c r="L14" s="32"/>
      <c r="M14" s="32"/>
      <c r="N14" s="253"/>
      <c r="O14" s="32"/>
      <c r="P14" s="32"/>
      <c r="Q14" s="32"/>
      <c r="R14" s="253"/>
      <c r="S14" s="32"/>
      <c r="T14" s="32"/>
      <c r="U14" s="32"/>
      <c r="V14" s="253"/>
      <c r="W14" s="32"/>
      <c r="X14" s="32"/>
      <c r="Y14" s="32"/>
      <c r="Z14" s="32"/>
      <c r="AA14" s="32"/>
      <c r="AB14" s="32"/>
      <c r="AC14" s="32"/>
      <c r="AD14" s="32">
        <v>1000</v>
      </c>
      <c r="AE14" s="32"/>
      <c r="AF14" s="32"/>
      <c r="AG14" s="32"/>
      <c r="AH14" s="32"/>
      <c r="AI14" s="32"/>
    </row>
    <row r="15" spans="1:35" ht="12.75">
      <c r="A15" s="32"/>
      <c r="B15" s="253"/>
      <c r="C15" s="32"/>
      <c r="D15" s="254"/>
      <c r="E15" s="32"/>
      <c r="F15" s="253"/>
      <c r="G15" s="32"/>
      <c r="H15" s="32"/>
      <c r="I15" s="32"/>
      <c r="J15" s="253"/>
      <c r="K15" s="32"/>
      <c r="L15" s="32"/>
      <c r="M15" s="32"/>
      <c r="N15" s="253"/>
      <c r="O15" s="32"/>
      <c r="P15" s="32"/>
      <c r="Q15" s="32"/>
      <c r="R15" s="253"/>
      <c r="S15" s="32"/>
      <c r="T15" s="32"/>
      <c r="U15" s="32"/>
      <c r="V15" s="253"/>
      <c r="W15" s="32"/>
      <c r="X15" s="32"/>
      <c r="Y15" s="32"/>
      <c r="Z15" s="32"/>
      <c r="AA15" s="32"/>
      <c r="AB15" s="32"/>
      <c r="AC15" s="32"/>
      <c r="AD15" s="32">
        <v>10000</v>
      </c>
      <c r="AE15" s="32"/>
      <c r="AF15" s="32"/>
      <c r="AG15" s="32"/>
      <c r="AH15" s="32"/>
      <c r="AI15" s="32"/>
    </row>
    <row r="16" spans="1:35" ht="12.75">
      <c r="A16" s="32" t="s">
        <v>707</v>
      </c>
      <c r="B16" s="253" t="s">
        <v>931</v>
      </c>
      <c r="C16" s="32"/>
      <c r="D16" s="254"/>
      <c r="E16" s="32" t="s">
        <v>439</v>
      </c>
      <c r="F16" s="253" t="s">
        <v>932</v>
      </c>
      <c r="G16" s="32"/>
      <c r="H16" s="32"/>
      <c r="I16" s="32" t="s">
        <v>473</v>
      </c>
      <c r="J16" s="253" t="s">
        <v>135</v>
      </c>
      <c r="K16" s="32"/>
      <c r="L16" s="32"/>
      <c r="M16" s="32" t="s">
        <v>136</v>
      </c>
      <c r="N16" s="253" t="s">
        <v>12</v>
      </c>
      <c r="O16" s="32">
        <v>1.84</v>
      </c>
      <c r="P16" s="32" t="s">
        <v>708</v>
      </c>
      <c r="Q16" s="32" t="s">
        <v>13</v>
      </c>
      <c r="R16" s="253" t="s">
        <v>735</v>
      </c>
      <c r="S16" s="32"/>
      <c r="T16" s="32"/>
      <c r="U16" s="32" t="s">
        <v>736</v>
      </c>
      <c r="V16" s="253" t="s">
        <v>611</v>
      </c>
      <c r="W16" s="32"/>
      <c r="X16" s="32"/>
      <c r="Y16" s="32" t="s">
        <v>612</v>
      </c>
      <c r="Z16" s="32"/>
      <c r="AA16" s="32"/>
      <c r="AB16" s="32"/>
      <c r="AC16" s="32"/>
      <c r="AD16" s="32">
        <v>100000</v>
      </c>
      <c r="AE16" s="32"/>
      <c r="AF16" s="32"/>
      <c r="AG16" s="32"/>
      <c r="AH16" s="32"/>
      <c r="AI16" s="32"/>
    </row>
    <row r="17" spans="1:35" ht="12.75">
      <c r="A17" s="32"/>
      <c r="B17" s="253" t="s">
        <v>933</v>
      </c>
      <c r="C17" s="32"/>
      <c r="D17" s="254"/>
      <c r="E17" s="32" t="s">
        <v>440</v>
      </c>
      <c r="F17" s="253" t="s">
        <v>934</v>
      </c>
      <c r="G17" s="32"/>
      <c r="H17" s="32"/>
      <c r="I17" s="32" t="s">
        <v>474</v>
      </c>
      <c r="J17" s="253" t="s">
        <v>137</v>
      </c>
      <c r="K17" s="32"/>
      <c r="L17" s="32"/>
      <c r="M17" s="32" t="s">
        <v>138</v>
      </c>
      <c r="N17" s="253" t="s">
        <v>14</v>
      </c>
      <c r="O17" s="32">
        <v>1</v>
      </c>
      <c r="P17" s="32" t="s">
        <v>550</v>
      </c>
      <c r="Q17" s="32" t="s">
        <v>15</v>
      </c>
      <c r="R17" s="253" t="s">
        <v>737</v>
      </c>
      <c r="S17" s="32"/>
      <c r="T17" s="32"/>
      <c r="U17" s="32" t="s">
        <v>738</v>
      </c>
      <c r="V17" s="253" t="s">
        <v>613</v>
      </c>
      <c r="W17" s="32"/>
      <c r="X17" s="32"/>
      <c r="Y17" s="32" t="s">
        <v>614</v>
      </c>
      <c r="Z17" s="32"/>
      <c r="AA17" s="32"/>
      <c r="AB17" s="32"/>
      <c r="AC17" s="32"/>
      <c r="AD17" s="32">
        <v>1000000</v>
      </c>
      <c r="AE17" s="32"/>
      <c r="AF17" s="32"/>
      <c r="AG17" s="32"/>
      <c r="AH17" s="32"/>
      <c r="AI17" s="32"/>
    </row>
    <row r="18" spans="1:35" ht="12.75">
      <c r="A18" s="32"/>
      <c r="B18" s="253" t="s">
        <v>935</v>
      </c>
      <c r="C18" s="32"/>
      <c r="D18" s="254"/>
      <c r="E18" s="32" t="s">
        <v>441</v>
      </c>
      <c r="F18" s="253" t="s">
        <v>936</v>
      </c>
      <c r="G18" s="32"/>
      <c r="H18" s="32"/>
      <c r="I18" s="32" t="s">
        <v>475</v>
      </c>
      <c r="J18" s="253" t="s">
        <v>139</v>
      </c>
      <c r="K18" s="32"/>
      <c r="L18" s="32"/>
      <c r="M18" s="32" t="s">
        <v>140</v>
      </c>
      <c r="N18" s="253" t="s">
        <v>16</v>
      </c>
      <c r="O18" s="32"/>
      <c r="P18" s="32"/>
      <c r="Q18" s="32" t="s">
        <v>17</v>
      </c>
      <c r="R18" s="253" t="s">
        <v>739</v>
      </c>
      <c r="S18" s="32"/>
      <c r="T18" s="32"/>
      <c r="U18" s="32" t="s">
        <v>740</v>
      </c>
      <c r="V18" s="253" t="s">
        <v>615</v>
      </c>
      <c r="W18" s="32"/>
      <c r="X18" s="32"/>
      <c r="Y18" s="32" t="s">
        <v>616</v>
      </c>
      <c r="Z18" s="32"/>
      <c r="AA18" s="32"/>
      <c r="AB18" s="32"/>
      <c r="AC18" s="32"/>
      <c r="AD18" s="32"/>
      <c r="AE18" s="32"/>
      <c r="AF18" s="32"/>
      <c r="AG18" s="32"/>
      <c r="AH18" s="32"/>
      <c r="AI18" s="32"/>
    </row>
    <row r="19" spans="1:35" ht="12.75">
      <c r="A19" s="32" t="s">
        <v>709</v>
      </c>
      <c r="B19" s="253" t="s">
        <v>937</v>
      </c>
      <c r="C19" s="32"/>
      <c r="D19" s="254"/>
      <c r="E19" s="32" t="s">
        <v>442</v>
      </c>
      <c r="F19" s="253" t="s">
        <v>938</v>
      </c>
      <c r="G19" s="32"/>
      <c r="H19" s="32"/>
      <c r="I19" s="32" t="s">
        <v>476</v>
      </c>
      <c r="J19" s="253" t="s">
        <v>141</v>
      </c>
      <c r="K19" s="32">
        <v>1</v>
      </c>
      <c r="L19" s="32" t="s">
        <v>710</v>
      </c>
      <c r="M19" s="32" t="s">
        <v>142</v>
      </c>
      <c r="N19" s="253" t="s">
        <v>18</v>
      </c>
      <c r="O19" s="32"/>
      <c r="P19" s="32"/>
      <c r="Q19" s="32" t="s">
        <v>19</v>
      </c>
      <c r="R19" s="253" t="s">
        <v>741</v>
      </c>
      <c r="S19" s="32"/>
      <c r="T19" s="32"/>
      <c r="U19" s="32" t="s">
        <v>742</v>
      </c>
      <c r="V19" s="253" t="s">
        <v>617</v>
      </c>
      <c r="W19" s="32"/>
      <c r="X19" s="32"/>
      <c r="Y19" s="32" t="s">
        <v>622</v>
      </c>
      <c r="Z19" s="32"/>
      <c r="AA19" s="32"/>
      <c r="AB19" s="32"/>
      <c r="AC19" s="32"/>
      <c r="AD19" s="32"/>
      <c r="AE19" s="32"/>
      <c r="AF19" s="32"/>
      <c r="AG19" s="32"/>
      <c r="AH19" s="32"/>
      <c r="AI19" s="32"/>
    </row>
    <row r="20" spans="1:35" ht="12.75">
      <c r="A20" s="32"/>
      <c r="B20" s="253" t="s">
        <v>939</v>
      </c>
      <c r="C20" s="32"/>
      <c r="D20" s="254"/>
      <c r="E20" s="32" t="s">
        <v>443</v>
      </c>
      <c r="F20" s="253" t="s">
        <v>940</v>
      </c>
      <c r="G20" s="32"/>
      <c r="H20" s="32"/>
      <c r="I20" s="32" t="s">
        <v>477</v>
      </c>
      <c r="J20" s="253" t="s">
        <v>143</v>
      </c>
      <c r="K20" s="32">
        <v>2.86</v>
      </c>
      <c r="L20" s="32" t="s">
        <v>711</v>
      </c>
      <c r="M20" s="32" t="s">
        <v>144</v>
      </c>
      <c r="N20" s="253" t="s">
        <v>20</v>
      </c>
      <c r="O20" s="32"/>
      <c r="P20" s="32"/>
      <c r="Q20" s="32" t="s">
        <v>21</v>
      </c>
      <c r="R20" s="253" t="s">
        <v>743</v>
      </c>
      <c r="S20" s="32"/>
      <c r="T20" s="32"/>
      <c r="U20" s="32" t="s">
        <v>744</v>
      </c>
      <c r="V20" s="253" t="s">
        <v>623</v>
      </c>
      <c r="W20" s="32"/>
      <c r="X20" s="32"/>
      <c r="Y20" s="32" t="s">
        <v>624</v>
      </c>
      <c r="Z20" s="32"/>
      <c r="AA20" s="32"/>
      <c r="AB20" s="32"/>
      <c r="AC20" s="32"/>
      <c r="AD20" s="32"/>
      <c r="AE20" s="32"/>
      <c r="AF20" s="32"/>
      <c r="AG20" s="32"/>
      <c r="AH20" s="32"/>
      <c r="AI20" s="32"/>
    </row>
    <row r="21" spans="1:35" ht="12.75">
      <c r="A21" s="32"/>
      <c r="B21" s="253" t="s">
        <v>72</v>
      </c>
      <c r="C21" s="32"/>
      <c r="D21" s="254"/>
      <c r="E21" s="32" t="s">
        <v>444</v>
      </c>
      <c r="F21" s="253" t="s">
        <v>73</v>
      </c>
      <c r="G21" s="32"/>
      <c r="H21" s="32"/>
      <c r="I21" s="32" t="s">
        <v>478</v>
      </c>
      <c r="J21" s="253" t="s">
        <v>145</v>
      </c>
      <c r="K21" s="32">
        <v>4.88</v>
      </c>
      <c r="L21" s="32" t="s">
        <v>572</v>
      </c>
      <c r="M21" s="32" t="s">
        <v>146</v>
      </c>
      <c r="N21" s="253" t="s">
        <v>22</v>
      </c>
      <c r="O21" s="32"/>
      <c r="P21" s="32"/>
      <c r="Q21" s="32" t="s">
        <v>23</v>
      </c>
      <c r="R21" s="253" t="s">
        <v>745</v>
      </c>
      <c r="S21" s="32"/>
      <c r="T21" s="32"/>
      <c r="U21" s="32" t="s">
        <v>746</v>
      </c>
      <c r="V21" s="253" t="s">
        <v>625</v>
      </c>
      <c r="W21" s="32"/>
      <c r="X21" s="32"/>
      <c r="Y21" s="32" t="s">
        <v>626</v>
      </c>
      <c r="Z21" s="32"/>
      <c r="AA21" s="32"/>
      <c r="AB21" s="32"/>
      <c r="AC21" s="32"/>
      <c r="AD21" s="32"/>
      <c r="AE21" s="32"/>
      <c r="AF21" s="32"/>
      <c r="AG21" s="32"/>
      <c r="AH21" s="32"/>
      <c r="AI21" s="32"/>
    </row>
    <row r="22" spans="1:35" ht="12.75">
      <c r="A22" s="32" t="s">
        <v>712</v>
      </c>
      <c r="B22" s="253" t="s">
        <v>74</v>
      </c>
      <c r="C22" s="32"/>
      <c r="D22" s="254"/>
      <c r="E22" s="32" t="s">
        <v>445</v>
      </c>
      <c r="F22" s="253" t="s">
        <v>75</v>
      </c>
      <c r="G22" s="32"/>
      <c r="H22" s="32"/>
      <c r="I22" s="32" t="s">
        <v>479</v>
      </c>
      <c r="J22" s="253" t="s">
        <v>147</v>
      </c>
      <c r="K22" s="32"/>
      <c r="L22" s="32"/>
      <c r="M22" s="32" t="s">
        <v>148</v>
      </c>
      <c r="N22" s="253" t="s">
        <v>24</v>
      </c>
      <c r="O22" s="32">
        <v>0.411</v>
      </c>
      <c r="P22" s="32" t="s">
        <v>713</v>
      </c>
      <c r="Q22" s="32" t="s">
        <v>25</v>
      </c>
      <c r="R22" s="253" t="s">
        <v>747</v>
      </c>
      <c r="S22" s="32"/>
      <c r="T22" s="32"/>
      <c r="U22" s="32" t="s">
        <v>748</v>
      </c>
      <c r="V22" s="253" t="s">
        <v>627</v>
      </c>
      <c r="W22" s="32"/>
      <c r="X22" s="32"/>
      <c r="Y22" s="32" t="s">
        <v>628</v>
      </c>
      <c r="Z22" s="32"/>
      <c r="AA22" s="32"/>
      <c r="AB22" s="32"/>
      <c r="AC22" s="32"/>
      <c r="AD22" s="32"/>
      <c r="AE22" s="32"/>
      <c r="AF22" s="32"/>
      <c r="AG22" s="32"/>
      <c r="AH22" s="32"/>
      <c r="AI22" s="32"/>
    </row>
    <row r="23" spans="1:35" ht="12.75">
      <c r="A23" s="32"/>
      <c r="B23" s="253" t="s">
        <v>76</v>
      </c>
      <c r="C23" s="32"/>
      <c r="D23" s="254"/>
      <c r="E23" s="32" t="s">
        <v>446</v>
      </c>
      <c r="F23" s="253" t="s">
        <v>77</v>
      </c>
      <c r="G23" s="32"/>
      <c r="H23" s="32"/>
      <c r="I23" s="32" t="s">
        <v>480</v>
      </c>
      <c r="J23" s="253" t="s">
        <v>149</v>
      </c>
      <c r="K23" s="32"/>
      <c r="L23" s="32"/>
      <c r="M23" s="32" t="s">
        <v>150</v>
      </c>
      <c r="N23" s="253" t="s">
        <v>26</v>
      </c>
      <c r="O23" s="32">
        <v>1</v>
      </c>
      <c r="P23" s="32" t="s">
        <v>545</v>
      </c>
      <c r="Q23" s="32" t="s">
        <v>27</v>
      </c>
      <c r="R23" s="253" t="s">
        <v>749</v>
      </c>
      <c r="S23" s="32"/>
      <c r="T23" s="32"/>
      <c r="U23" s="32" t="s">
        <v>750</v>
      </c>
      <c r="V23" s="253" t="s">
        <v>633</v>
      </c>
      <c r="W23" s="32"/>
      <c r="X23" s="32"/>
      <c r="Y23" s="32" t="s">
        <v>634</v>
      </c>
      <c r="Z23" s="32"/>
      <c r="AA23" s="32"/>
      <c r="AB23" s="32"/>
      <c r="AC23" s="32"/>
      <c r="AD23" s="32"/>
      <c r="AE23" s="32"/>
      <c r="AF23" s="32"/>
      <c r="AG23" s="32"/>
      <c r="AH23" s="32"/>
      <c r="AI23" s="32"/>
    </row>
    <row r="24" spans="1:35" ht="12.75">
      <c r="A24" s="32"/>
      <c r="B24" s="253" t="s">
        <v>78</v>
      </c>
      <c r="C24" s="32"/>
      <c r="D24" s="254"/>
      <c r="E24" s="32" t="s">
        <v>447</v>
      </c>
      <c r="F24" s="253" t="s">
        <v>79</v>
      </c>
      <c r="G24" s="32"/>
      <c r="H24" s="32"/>
      <c r="I24" s="32" t="s">
        <v>481</v>
      </c>
      <c r="J24" s="253" t="s">
        <v>151</v>
      </c>
      <c r="K24" s="32"/>
      <c r="L24" s="32"/>
      <c r="M24" s="32" t="s">
        <v>152</v>
      </c>
      <c r="N24" s="253" t="s">
        <v>28</v>
      </c>
      <c r="O24" s="32"/>
      <c r="P24" s="32"/>
      <c r="Q24" s="32" t="s">
        <v>29</v>
      </c>
      <c r="R24" s="253" t="s">
        <v>751</v>
      </c>
      <c r="S24" s="32"/>
      <c r="T24" s="32"/>
      <c r="U24" s="32" t="s">
        <v>752</v>
      </c>
      <c r="V24" s="253" t="s">
        <v>635</v>
      </c>
      <c r="W24" s="32"/>
      <c r="X24" s="32"/>
      <c r="Y24" s="32" t="s">
        <v>636</v>
      </c>
      <c r="Z24" s="32"/>
      <c r="AA24" s="32"/>
      <c r="AB24" s="32"/>
      <c r="AC24" s="32"/>
      <c r="AD24" s="32"/>
      <c r="AE24" s="32"/>
      <c r="AF24" s="32"/>
      <c r="AG24" s="32"/>
      <c r="AH24" s="32"/>
      <c r="AI24" s="32"/>
    </row>
    <row r="25" spans="1:35" ht="12.75">
      <c r="A25" s="32" t="s">
        <v>714</v>
      </c>
      <c r="B25" s="253" t="s">
        <v>80</v>
      </c>
      <c r="C25" s="32">
        <v>2.84</v>
      </c>
      <c r="D25" s="256" t="s">
        <v>821</v>
      </c>
      <c r="E25" s="32" t="s">
        <v>448</v>
      </c>
      <c r="F25" s="253" t="s">
        <v>81</v>
      </c>
      <c r="G25" s="32"/>
      <c r="H25" s="32"/>
      <c r="I25" s="32" t="s">
        <v>482</v>
      </c>
      <c r="J25" s="253" t="s">
        <v>153</v>
      </c>
      <c r="K25" s="32"/>
      <c r="L25" s="32"/>
      <c r="M25" s="32" t="s">
        <v>154</v>
      </c>
      <c r="N25" s="253" t="s">
        <v>30</v>
      </c>
      <c r="O25" s="32"/>
      <c r="P25" s="32"/>
      <c r="Q25" s="32" t="s">
        <v>31</v>
      </c>
      <c r="R25" s="253" t="s">
        <v>753</v>
      </c>
      <c r="S25" s="32">
        <v>0.247</v>
      </c>
      <c r="T25" s="32" t="s">
        <v>580</v>
      </c>
      <c r="U25" s="32" t="s">
        <v>754</v>
      </c>
      <c r="V25" s="253" t="s">
        <v>637</v>
      </c>
      <c r="W25" s="32"/>
      <c r="X25" s="32"/>
      <c r="Y25" s="32" t="s">
        <v>638</v>
      </c>
      <c r="Z25" s="32"/>
      <c r="AA25" s="32"/>
      <c r="AB25" s="32"/>
      <c r="AC25" s="32"/>
      <c r="AD25" s="32"/>
      <c r="AE25" s="32"/>
      <c r="AF25" s="32"/>
      <c r="AG25" s="32"/>
      <c r="AH25" s="32"/>
      <c r="AI25" s="32"/>
    </row>
    <row r="26" spans="1:35" ht="25.5">
      <c r="A26" s="32"/>
      <c r="B26" s="253" t="s">
        <v>82</v>
      </c>
      <c r="C26" s="32">
        <v>1</v>
      </c>
      <c r="D26" s="256" t="s">
        <v>822</v>
      </c>
      <c r="E26" s="32" t="s">
        <v>449</v>
      </c>
      <c r="F26" s="253" t="s">
        <v>83</v>
      </c>
      <c r="G26" s="32"/>
      <c r="H26" s="32"/>
      <c r="I26" s="32" t="s">
        <v>483</v>
      </c>
      <c r="J26" s="253" t="s">
        <v>155</v>
      </c>
      <c r="K26" s="32"/>
      <c r="L26" s="32"/>
      <c r="M26" s="32" t="s">
        <v>156</v>
      </c>
      <c r="N26" s="253" t="s">
        <v>32</v>
      </c>
      <c r="O26" s="32"/>
      <c r="P26" s="32"/>
      <c r="Q26" s="32" t="s">
        <v>33</v>
      </c>
      <c r="R26" s="253" t="s">
        <v>755</v>
      </c>
      <c r="S26" s="32">
        <v>1</v>
      </c>
      <c r="T26" s="32" t="s">
        <v>547</v>
      </c>
      <c r="U26" s="32" t="s">
        <v>756</v>
      </c>
      <c r="V26" s="253" t="s">
        <v>639</v>
      </c>
      <c r="W26" s="32"/>
      <c r="X26" s="32"/>
      <c r="Y26" s="32" t="s">
        <v>640</v>
      </c>
      <c r="Z26" s="32"/>
      <c r="AA26" s="32"/>
      <c r="AB26" s="32"/>
      <c r="AC26" s="32"/>
      <c r="AD26" s="32"/>
      <c r="AE26" s="32"/>
      <c r="AF26" s="32"/>
      <c r="AG26" s="32"/>
      <c r="AH26" s="32"/>
      <c r="AI26" s="32"/>
    </row>
    <row r="27" spans="1:35" ht="12.75">
      <c r="A27" s="32"/>
      <c r="B27" s="253" t="s">
        <v>84</v>
      </c>
      <c r="C27" s="32"/>
      <c r="D27" s="254"/>
      <c r="E27" s="32" t="s">
        <v>450</v>
      </c>
      <c r="F27" s="253" t="s">
        <v>85</v>
      </c>
      <c r="G27" s="32"/>
      <c r="H27" s="32"/>
      <c r="I27" s="32" t="s">
        <v>484</v>
      </c>
      <c r="J27" s="253" t="s">
        <v>157</v>
      </c>
      <c r="K27" s="32"/>
      <c r="L27" s="32"/>
      <c r="M27" s="32" t="s">
        <v>158</v>
      </c>
      <c r="N27" s="253" t="s">
        <v>34</v>
      </c>
      <c r="O27" s="32"/>
      <c r="P27" s="32"/>
      <c r="Q27" s="32" t="s">
        <v>35</v>
      </c>
      <c r="R27" s="253" t="s">
        <v>757</v>
      </c>
      <c r="S27" s="32"/>
      <c r="T27" s="32"/>
      <c r="U27" s="32" t="s">
        <v>758</v>
      </c>
      <c r="V27" s="253" t="s">
        <v>641</v>
      </c>
      <c r="W27" s="32"/>
      <c r="X27" s="32"/>
      <c r="Y27" s="32" t="s">
        <v>642</v>
      </c>
      <c r="Z27" s="32"/>
      <c r="AA27" s="32"/>
      <c r="AB27" s="32"/>
      <c r="AC27" s="32"/>
      <c r="AD27" s="32"/>
      <c r="AE27" s="32"/>
      <c r="AF27" s="32"/>
      <c r="AG27" s="32"/>
      <c r="AH27" s="32"/>
      <c r="AI27" s="32"/>
    </row>
    <row r="28" spans="1:35" ht="12.75">
      <c r="A28" s="32" t="s">
        <v>715</v>
      </c>
      <c r="B28" s="253" t="s">
        <v>907</v>
      </c>
      <c r="C28" s="32"/>
      <c r="D28" s="254"/>
      <c r="E28" s="32"/>
      <c r="F28" s="253" t="s">
        <v>300</v>
      </c>
      <c r="G28" s="32">
        <v>0.082</v>
      </c>
      <c r="H28" s="32"/>
      <c r="I28" s="253" t="s">
        <v>485</v>
      </c>
      <c r="J28" s="253" t="s">
        <v>159</v>
      </c>
      <c r="K28" s="32">
        <v>12.1</v>
      </c>
      <c r="L28" s="32"/>
      <c r="M28" s="32"/>
      <c r="N28" s="253" t="s">
        <v>36</v>
      </c>
      <c r="O28" s="32">
        <v>4.66</v>
      </c>
      <c r="P28" s="32"/>
      <c r="Q28" s="32"/>
      <c r="R28" s="253" t="s">
        <v>759</v>
      </c>
      <c r="S28" s="32">
        <v>0.135</v>
      </c>
      <c r="T28" s="32"/>
      <c r="U28" s="32"/>
      <c r="V28" s="253" t="s">
        <v>643</v>
      </c>
      <c r="W28" s="32"/>
      <c r="X28" s="32"/>
      <c r="Y28" s="32"/>
      <c r="Z28" s="32"/>
      <c r="AA28" s="32"/>
      <c r="AB28" s="32"/>
      <c r="AC28" s="32"/>
      <c r="AD28" s="32"/>
      <c r="AE28" s="32"/>
      <c r="AF28" s="32"/>
      <c r="AG28" s="32"/>
      <c r="AH28" s="32"/>
      <c r="AI28" s="32"/>
    </row>
    <row r="29" spans="1:35" ht="12.75">
      <c r="A29" s="32"/>
      <c r="B29" s="253"/>
      <c r="C29" s="32"/>
      <c r="D29" s="254"/>
      <c r="E29" s="32"/>
      <c r="F29" s="253" t="s">
        <v>301</v>
      </c>
      <c r="G29" s="32">
        <v>1</v>
      </c>
      <c r="H29" s="32"/>
      <c r="I29" s="253" t="s">
        <v>486</v>
      </c>
      <c r="J29" s="253"/>
      <c r="K29" s="32"/>
      <c r="L29" s="32"/>
      <c r="M29" s="32"/>
      <c r="N29" s="253"/>
      <c r="O29" s="32"/>
      <c r="P29" s="32"/>
      <c r="Q29" s="32"/>
      <c r="R29" s="253"/>
      <c r="S29" s="32"/>
      <c r="T29" s="32"/>
      <c r="U29" s="32"/>
      <c r="V29" s="253"/>
      <c r="W29" s="32"/>
      <c r="X29" s="32"/>
      <c r="Y29" s="32"/>
      <c r="Z29" s="32"/>
      <c r="AA29" s="32"/>
      <c r="AB29" s="32"/>
      <c r="AC29" s="32"/>
      <c r="AD29" s="32"/>
      <c r="AE29" s="32"/>
      <c r="AF29" s="32"/>
      <c r="AG29" s="32"/>
      <c r="AH29" s="32"/>
      <c r="AI29" s="32"/>
    </row>
    <row r="30" spans="1:35" ht="12.75">
      <c r="A30" s="32" t="s">
        <v>716</v>
      </c>
      <c r="B30" s="253" t="s">
        <v>908</v>
      </c>
      <c r="C30" s="32"/>
      <c r="D30" s="254"/>
      <c r="E30" s="32"/>
      <c r="F30" s="253" t="s">
        <v>287</v>
      </c>
      <c r="G30" s="32">
        <v>32.2</v>
      </c>
      <c r="H30" s="32" t="s">
        <v>580</v>
      </c>
      <c r="I30" s="257" t="s">
        <v>487</v>
      </c>
      <c r="J30" s="253" t="s">
        <v>160</v>
      </c>
      <c r="K30" s="32">
        <v>1</v>
      </c>
      <c r="L30" s="32"/>
      <c r="M30" s="32"/>
      <c r="N30" s="253" t="s">
        <v>37</v>
      </c>
      <c r="O30" s="32">
        <v>1</v>
      </c>
      <c r="P30" s="32"/>
      <c r="Q30" s="32"/>
      <c r="R30" s="253" t="s">
        <v>760</v>
      </c>
      <c r="S30" s="32">
        <v>1</v>
      </c>
      <c r="T30" s="32"/>
      <c r="U30" s="32"/>
      <c r="V30" s="253" t="s">
        <v>644</v>
      </c>
      <c r="W30" s="32"/>
      <c r="X30" s="32"/>
      <c r="Y30" s="32"/>
      <c r="Z30" s="32"/>
      <c r="AA30" s="32"/>
      <c r="AB30" s="32"/>
      <c r="AC30" s="32"/>
      <c r="AD30" s="32"/>
      <c r="AE30" s="32"/>
      <c r="AF30" s="32"/>
      <c r="AG30" s="32"/>
      <c r="AH30" s="32"/>
      <c r="AI30" s="32"/>
    </row>
    <row r="31" spans="1:35" ht="12.75">
      <c r="A31" s="32"/>
      <c r="B31" s="253"/>
      <c r="C31" s="32"/>
      <c r="D31" s="254"/>
      <c r="E31" s="32"/>
      <c r="F31" s="253" t="s">
        <v>288</v>
      </c>
      <c r="G31" s="32">
        <v>1</v>
      </c>
      <c r="H31" s="32" t="s">
        <v>547</v>
      </c>
      <c r="I31" s="257" t="s">
        <v>488</v>
      </c>
      <c r="J31" s="253"/>
      <c r="K31" s="32"/>
      <c r="L31" s="32"/>
      <c r="M31" s="32"/>
      <c r="N31" s="253"/>
      <c r="O31" s="32"/>
      <c r="P31" s="32"/>
      <c r="Q31" s="32"/>
      <c r="R31" s="253"/>
      <c r="S31" s="32"/>
      <c r="T31" s="32"/>
      <c r="U31" s="32"/>
      <c r="V31" s="253"/>
      <c r="W31" s="32"/>
      <c r="X31" s="32"/>
      <c r="Y31" s="32"/>
      <c r="Z31" s="32"/>
      <c r="AA31" s="32"/>
      <c r="AB31" s="32"/>
      <c r="AC31" s="32"/>
      <c r="AD31" s="32"/>
      <c r="AE31" s="32"/>
      <c r="AF31" s="32"/>
      <c r="AG31" s="32"/>
      <c r="AH31" s="32"/>
      <c r="AI31" s="32"/>
    </row>
    <row r="32" spans="1:35" ht="12.75">
      <c r="A32" s="32" t="s">
        <v>717</v>
      </c>
      <c r="B32" s="253" t="s">
        <v>909</v>
      </c>
      <c r="C32" s="32"/>
      <c r="D32" s="254"/>
      <c r="E32" s="32"/>
      <c r="F32" s="253" t="s">
        <v>923</v>
      </c>
      <c r="G32" s="32"/>
      <c r="H32" s="32"/>
      <c r="I32" s="32"/>
      <c r="J32" s="253" t="s">
        <v>161</v>
      </c>
      <c r="K32" s="32">
        <f>K14+0.351</f>
        <v>1.535</v>
      </c>
      <c r="L32" s="32"/>
      <c r="M32" s="32"/>
      <c r="N32" s="253" t="s">
        <v>38</v>
      </c>
      <c r="O32" s="32">
        <f>0.365+0.276</f>
        <v>0.641</v>
      </c>
      <c r="P32" s="32"/>
      <c r="Q32" s="32"/>
      <c r="R32" s="253" t="s">
        <v>761</v>
      </c>
      <c r="S32" s="32"/>
      <c r="T32" s="32"/>
      <c r="U32" s="32"/>
      <c r="V32" s="253" t="s">
        <v>645</v>
      </c>
      <c r="W32" s="32"/>
      <c r="X32" s="32"/>
      <c r="Y32" s="32"/>
      <c r="Z32" s="32"/>
      <c r="AA32" s="32"/>
      <c r="AB32" s="32"/>
      <c r="AC32" s="32"/>
      <c r="AD32" s="32"/>
      <c r="AE32" s="32"/>
      <c r="AF32" s="32"/>
      <c r="AG32" s="32"/>
      <c r="AH32" s="32"/>
      <c r="AI32" s="32"/>
    </row>
    <row r="33" spans="1:35" ht="12.75">
      <c r="A33" s="32"/>
      <c r="B33" s="253"/>
      <c r="C33" s="32"/>
      <c r="D33" s="254"/>
      <c r="E33" s="32"/>
      <c r="F33" s="253"/>
      <c r="G33" s="32"/>
      <c r="H33" s="32"/>
      <c r="I33" s="32"/>
      <c r="J33" s="253"/>
      <c r="K33" s="32"/>
      <c r="L33" s="32"/>
      <c r="M33" s="32"/>
      <c r="N33" s="253"/>
      <c r="O33" s="32"/>
      <c r="P33" s="32"/>
      <c r="Q33" s="32"/>
      <c r="R33" s="253"/>
      <c r="S33" s="32"/>
      <c r="T33" s="32"/>
      <c r="U33" s="32"/>
      <c r="V33" s="253"/>
      <c r="W33" s="32"/>
      <c r="X33" s="32"/>
      <c r="Y33" s="32"/>
      <c r="Z33" s="32"/>
      <c r="AA33" s="32"/>
      <c r="AB33" s="32"/>
      <c r="AC33" s="32"/>
      <c r="AD33" s="32"/>
      <c r="AE33" s="32"/>
      <c r="AF33" s="32"/>
      <c r="AG33" s="32"/>
      <c r="AH33" s="32"/>
      <c r="AI33" s="32"/>
    </row>
    <row r="34" spans="1:35" ht="12.75">
      <c r="A34" s="32" t="s">
        <v>718</v>
      </c>
      <c r="B34" s="253" t="s">
        <v>910</v>
      </c>
      <c r="C34" s="32"/>
      <c r="D34" s="254"/>
      <c r="E34" s="32"/>
      <c r="F34" s="253" t="s">
        <v>924</v>
      </c>
      <c r="G34" s="32"/>
      <c r="H34" s="32"/>
      <c r="I34" s="32"/>
      <c r="J34" s="253" t="s">
        <v>162</v>
      </c>
      <c r="K34" s="32">
        <v>1.184</v>
      </c>
      <c r="L34" s="32"/>
      <c r="M34" s="32"/>
      <c r="N34" s="253" t="s">
        <v>39</v>
      </c>
      <c r="O34" s="32">
        <v>0.365</v>
      </c>
      <c r="P34" s="32"/>
      <c r="Q34" s="32"/>
      <c r="R34" s="253" t="s">
        <v>762</v>
      </c>
      <c r="S34" s="32"/>
      <c r="T34" s="32"/>
      <c r="U34" s="32"/>
      <c r="V34" s="253" t="s">
        <v>646</v>
      </c>
      <c r="W34" s="32"/>
      <c r="X34" s="32"/>
      <c r="Y34" s="32"/>
      <c r="Z34" s="32"/>
      <c r="AA34" s="32"/>
      <c r="AB34" s="32"/>
      <c r="AC34" s="32"/>
      <c r="AD34" s="32"/>
      <c r="AE34" s="32"/>
      <c r="AF34" s="32"/>
      <c r="AG34" s="32"/>
      <c r="AH34" s="32"/>
      <c r="AI34" s="32"/>
    </row>
    <row r="35" spans="1:35" ht="12.75">
      <c r="A35" s="32"/>
      <c r="B35" s="253"/>
      <c r="C35" s="32"/>
      <c r="D35" s="254"/>
      <c r="E35" s="32"/>
      <c r="F35" s="253"/>
      <c r="G35" s="32"/>
      <c r="H35" s="32"/>
      <c r="I35" s="32"/>
      <c r="J35" s="253"/>
      <c r="K35" s="32"/>
      <c r="L35" s="32"/>
      <c r="M35" s="32"/>
      <c r="N35" s="253"/>
      <c r="O35" s="32"/>
      <c r="P35" s="32"/>
      <c r="Q35" s="32"/>
      <c r="R35" s="253"/>
      <c r="S35" s="32"/>
      <c r="T35" s="32"/>
      <c r="U35" s="32"/>
      <c r="V35" s="253"/>
      <c r="W35" s="32"/>
      <c r="X35" s="32"/>
      <c r="Y35" s="32"/>
      <c r="Z35" s="32"/>
      <c r="AA35" s="32"/>
      <c r="AB35" s="32"/>
      <c r="AC35" s="32"/>
      <c r="AD35" s="32"/>
      <c r="AE35" s="32"/>
      <c r="AF35" s="32"/>
      <c r="AG35" s="32"/>
      <c r="AH35" s="32"/>
      <c r="AI35" s="32"/>
    </row>
    <row r="36" spans="1:35" ht="12.75">
      <c r="A36" s="32" t="s">
        <v>719</v>
      </c>
      <c r="B36" s="253" t="s">
        <v>86</v>
      </c>
      <c r="C36" s="32">
        <v>29.1</v>
      </c>
      <c r="D36" s="254" t="s">
        <v>535</v>
      </c>
      <c r="E36" s="32" t="s">
        <v>451</v>
      </c>
      <c r="F36" s="253" t="s">
        <v>87</v>
      </c>
      <c r="G36" s="32"/>
      <c r="H36" s="32"/>
      <c r="I36" s="32" t="s">
        <v>489</v>
      </c>
      <c r="J36" s="253" t="s">
        <v>192</v>
      </c>
      <c r="K36" s="32"/>
      <c r="L36" s="32"/>
      <c r="M36" s="32" t="s">
        <v>193</v>
      </c>
      <c r="N36" s="253" t="s">
        <v>40</v>
      </c>
      <c r="O36" s="32"/>
      <c r="P36" s="32"/>
      <c r="Q36" s="32" t="s">
        <v>41</v>
      </c>
      <c r="R36" s="253" t="s">
        <v>763</v>
      </c>
      <c r="S36" s="32"/>
      <c r="T36" s="32"/>
      <c r="U36" s="32" t="s">
        <v>764</v>
      </c>
      <c r="V36" s="253" t="s">
        <v>647</v>
      </c>
      <c r="W36" s="32">
        <v>1</v>
      </c>
      <c r="X36" s="32" t="s">
        <v>535</v>
      </c>
      <c r="Y36" s="32" t="s">
        <v>648</v>
      </c>
      <c r="Z36" s="32"/>
      <c r="AA36" s="32"/>
      <c r="AB36" s="32"/>
      <c r="AC36" s="32"/>
      <c r="AD36" s="32"/>
      <c r="AE36" s="32"/>
      <c r="AF36" s="32"/>
      <c r="AG36" s="32"/>
      <c r="AH36" s="32"/>
      <c r="AI36" s="32"/>
    </row>
    <row r="37" spans="1:35" ht="25.5">
      <c r="A37" s="32"/>
      <c r="B37" s="253" t="s">
        <v>88</v>
      </c>
      <c r="C37" s="32">
        <v>1</v>
      </c>
      <c r="D37" s="254" t="s">
        <v>866</v>
      </c>
      <c r="E37" s="32" t="s">
        <v>452</v>
      </c>
      <c r="F37" s="253" t="s">
        <v>89</v>
      </c>
      <c r="G37" s="32"/>
      <c r="H37" s="32"/>
      <c r="I37" s="32" t="s">
        <v>490</v>
      </c>
      <c r="J37" s="253" t="s">
        <v>194</v>
      </c>
      <c r="K37" s="32"/>
      <c r="L37" s="32"/>
      <c r="M37" s="32" t="s">
        <v>195</v>
      </c>
      <c r="N37" s="253" t="s">
        <v>42</v>
      </c>
      <c r="O37" s="32"/>
      <c r="P37" s="32"/>
      <c r="Q37" s="32" t="s">
        <v>43</v>
      </c>
      <c r="R37" s="253" t="s">
        <v>765</v>
      </c>
      <c r="S37" s="32"/>
      <c r="T37" s="32"/>
      <c r="U37" s="32" t="s">
        <v>766</v>
      </c>
      <c r="V37" s="253" t="s">
        <v>649</v>
      </c>
      <c r="W37" s="32">
        <v>0.074</v>
      </c>
      <c r="X37" s="32" t="s">
        <v>809</v>
      </c>
      <c r="Y37" s="32" t="s">
        <v>650</v>
      </c>
      <c r="Z37" s="32"/>
      <c r="AA37" s="32"/>
      <c r="AB37" s="32"/>
      <c r="AC37" s="32"/>
      <c r="AD37" s="32"/>
      <c r="AE37" s="32"/>
      <c r="AF37" s="32"/>
      <c r="AG37" s="32"/>
      <c r="AH37" s="32"/>
      <c r="AI37" s="32"/>
    </row>
    <row r="38" spans="1:35" ht="12.75">
      <c r="A38" s="32"/>
      <c r="B38" s="253" t="s">
        <v>90</v>
      </c>
      <c r="C38" s="32">
        <v>7.69</v>
      </c>
      <c r="D38" s="254" t="s">
        <v>867</v>
      </c>
      <c r="E38" s="32" t="s">
        <v>453</v>
      </c>
      <c r="F38" s="253" t="s">
        <v>113</v>
      </c>
      <c r="G38" s="32"/>
      <c r="H38" s="32"/>
      <c r="I38" s="32" t="s">
        <v>491</v>
      </c>
      <c r="J38" s="253" t="s">
        <v>196</v>
      </c>
      <c r="K38" s="32"/>
      <c r="L38" s="32"/>
      <c r="M38" s="32" t="s">
        <v>197</v>
      </c>
      <c r="N38" s="253" t="s">
        <v>44</v>
      </c>
      <c r="O38" s="32"/>
      <c r="P38" s="32"/>
      <c r="Q38" s="32" t="s">
        <v>45</v>
      </c>
      <c r="R38" s="253" t="s">
        <v>767</v>
      </c>
      <c r="S38" s="32"/>
      <c r="T38" s="32"/>
      <c r="U38" s="32" t="s">
        <v>768</v>
      </c>
      <c r="V38" s="253" t="s">
        <v>651</v>
      </c>
      <c r="W38" s="32"/>
      <c r="X38" s="32"/>
      <c r="Y38" s="32" t="s">
        <v>652</v>
      </c>
      <c r="Z38" s="32"/>
      <c r="AA38" s="32"/>
      <c r="AB38" s="32"/>
      <c r="AC38" s="32"/>
      <c r="AD38" s="32"/>
      <c r="AE38" s="32"/>
      <c r="AF38" s="32"/>
      <c r="AG38" s="32"/>
      <c r="AH38" s="32"/>
      <c r="AI38" s="32"/>
    </row>
    <row r="39" spans="1:35" ht="12.75">
      <c r="A39" s="32" t="s">
        <v>810</v>
      </c>
      <c r="B39" s="253" t="s">
        <v>114</v>
      </c>
      <c r="C39" s="32">
        <v>0.29</v>
      </c>
      <c r="D39" s="254" t="s">
        <v>854</v>
      </c>
      <c r="E39" s="32" t="s">
        <v>454</v>
      </c>
      <c r="F39" s="253" t="s">
        <v>115</v>
      </c>
      <c r="G39" s="32"/>
      <c r="H39" s="32"/>
      <c r="I39" s="32" t="s">
        <v>492</v>
      </c>
      <c r="J39" s="253" t="s">
        <v>198</v>
      </c>
      <c r="K39" s="32"/>
      <c r="L39" s="32"/>
      <c r="M39" s="32" t="s">
        <v>199</v>
      </c>
      <c r="N39" s="253" t="s">
        <v>46</v>
      </c>
      <c r="O39" s="32"/>
      <c r="P39" s="32"/>
      <c r="Q39" s="32" t="s">
        <v>47</v>
      </c>
      <c r="R39" s="253" t="s">
        <v>769</v>
      </c>
      <c r="S39" s="32"/>
      <c r="T39" s="32"/>
      <c r="U39" s="32" t="s">
        <v>770</v>
      </c>
      <c r="V39" s="253" t="s">
        <v>653</v>
      </c>
      <c r="W39" s="32">
        <v>1</v>
      </c>
      <c r="X39" s="32" t="s">
        <v>811</v>
      </c>
      <c r="Y39" s="32" t="s">
        <v>654</v>
      </c>
      <c r="Z39" s="32"/>
      <c r="AA39" s="32"/>
      <c r="AB39" s="32"/>
      <c r="AC39" s="32"/>
      <c r="AD39" s="32"/>
      <c r="AE39" s="32"/>
      <c r="AF39" s="32"/>
      <c r="AG39" s="32"/>
      <c r="AH39" s="32"/>
      <c r="AI39" s="32"/>
    </row>
    <row r="40" spans="1:35" ht="12.75">
      <c r="A40" s="32"/>
      <c r="B40" s="253" t="s">
        <v>116</v>
      </c>
      <c r="C40" s="32">
        <v>1</v>
      </c>
      <c r="D40" s="254" t="s">
        <v>855</v>
      </c>
      <c r="E40" s="32" t="s">
        <v>455</v>
      </c>
      <c r="F40" s="253" t="s">
        <v>117</v>
      </c>
      <c r="G40" s="32"/>
      <c r="H40" s="32"/>
      <c r="I40" s="32" t="s">
        <v>493</v>
      </c>
      <c r="J40" s="253" t="s">
        <v>200</v>
      </c>
      <c r="K40" s="32"/>
      <c r="L40" s="32"/>
      <c r="M40" s="32" t="s">
        <v>201</v>
      </c>
      <c r="N40" s="253" t="s">
        <v>48</v>
      </c>
      <c r="O40" s="32"/>
      <c r="P40" s="32"/>
      <c r="Q40" s="32" t="s">
        <v>49</v>
      </c>
      <c r="R40" s="253" t="s">
        <v>771</v>
      </c>
      <c r="S40" s="32"/>
      <c r="T40" s="32"/>
      <c r="U40" s="32" t="s">
        <v>772</v>
      </c>
      <c r="V40" s="253" t="s">
        <v>655</v>
      </c>
      <c r="W40" s="32">
        <v>3.133</v>
      </c>
      <c r="X40" s="32" t="s">
        <v>537</v>
      </c>
      <c r="Y40" s="32" t="s">
        <v>656</v>
      </c>
      <c r="Z40" s="32"/>
      <c r="AA40" s="32"/>
      <c r="AB40" s="32"/>
      <c r="AC40" s="32"/>
      <c r="AD40" s="32"/>
      <c r="AE40" s="32"/>
      <c r="AF40" s="32"/>
      <c r="AG40" s="32"/>
      <c r="AH40" s="32"/>
      <c r="AI40" s="32"/>
    </row>
    <row r="41" spans="1:35" ht="12.75">
      <c r="A41" s="32"/>
      <c r="B41" s="253" t="s">
        <v>275</v>
      </c>
      <c r="C41" s="32"/>
      <c r="D41" s="254"/>
      <c r="E41" s="32" t="s">
        <v>456</v>
      </c>
      <c r="F41" s="253" t="s">
        <v>276</v>
      </c>
      <c r="G41" s="32"/>
      <c r="H41" s="32"/>
      <c r="I41" s="32" t="s">
        <v>494</v>
      </c>
      <c r="J41" s="253" t="s">
        <v>202</v>
      </c>
      <c r="K41" s="32"/>
      <c r="L41" s="32"/>
      <c r="M41" s="32" t="s">
        <v>203</v>
      </c>
      <c r="N41" s="253" t="s">
        <v>50</v>
      </c>
      <c r="O41" s="32"/>
      <c r="P41" s="32"/>
      <c r="Q41" s="32" t="s">
        <v>51</v>
      </c>
      <c r="R41" s="253" t="s">
        <v>773</v>
      </c>
      <c r="S41" s="32"/>
      <c r="T41" s="32"/>
      <c r="U41" s="32" t="s">
        <v>774</v>
      </c>
      <c r="V41" s="253" t="s">
        <v>657</v>
      </c>
      <c r="W41" s="32"/>
      <c r="X41" s="32"/>
      <c r="Y41" s="32" t="s">
        <v>658</v>
      </c>
      <c r="Z41" s="32"/>
      <c r="AA41" s="32"/>
      <c r="AB41" s="32"/>
      <c r="AC41" s="32"/>
      <c r="AD41" s="32"/>
      <c r="AE41" s="32"/>
      <c r="AF41" s="32"/>
      <c r="AG41" s="32"/>
      <c r="AH41" s="32"/>
      <c r="AI41" s="32"/>
    </row>
    <row r="42" spans="1:35" ht="12.75">
      <c r="A42" s="32"/>
      <c r="B42" s="253"/>
      <c r="C42" s="32"/>
      <c r="D42" s="254"/>
      <c r="E42" s="32"/>
      <c r="F42" s="253"/>
      <c r="G42" s="32"/>
      <c r="H42" s="32"/>
      <c r="I42" s="32"/>
      <c r="J42" s="253"/>
      <c r="K42" s="32"/>
      <c r="L42" s="32"/>
      <c r="M42" s="32"/>
      <c r="N42" s="253"/>
      <c r="O42" s="32"/>
      <c r="P42" s="32"/>
      <c r="Q42" s="32"/>
      <c r="R42" s="253"/>
      <c r="S42" s="32"/>
      <c r="T42" s="32"/>
      <c r="U42" s="32"/>
      <c r="V42" s="253"/>
      <c r="W42" s="32"/>
      <c r="X42" s="32"/>
      <c r="Y42" s="32"/>
      <c r="Z42" s="32"/>
      <c r="AA42" s="32"/>
      <c r="AB42" s="32"/>
      <c r="AC42" s="32"/>
      <c r="AD42" s="32"/>
      <c r="AE42" s="32"/>
      <c r="AF42" s="32"/>
      <c r="AG42" s="32"/>
      <c r="AH42" s="32"/>
      <c r="AI42" s="32"/>
    </row>
    <row r="43" spans="1:35" ht="12.75">
      <c r="A43" s="32" t="s">
        <v>812</v>
      </c>
      <c r="B43" s="253" t="s">
        <v>277</v>
      </c>
      <c r="C43" s="32"/>
      <c r="D43" s="254"/>
      <c r="E43" s="32" t="s">
        <v>457</v>
      </c>
      <c r="F43" s="253" t="s">
        <v>278</v>
      </c>
      <c r="G43" s="32"/>
      <c r="H43" s="32"/>
      <c r="I43" s="32" t="s">
        <v>495</v>
      </c>
      <c r="J43" s="253" t="s">
        <v>204</v>
      </c>
      <c r="K43" s="32"/>
      <c r="L43" s="32"/>
      <c r="M43" s="32" t="s">
        <v>205</v>
      </c>
      <c r="N43" s="253" t="s">
        <v>52</v>
      </c>
      <c r="O43" s="32" t="s">
        <v>538</v>
      </c>
      <c r="P43" s="32" t="s">
        <v>535</v>
      </c>
      <c r="Q43" s="32" t="s">
        <v>53</v>
      </c>
      <c r="R43" s="253" t="s">
        <v>775</v>
      </c>
      <c r="S43" s="32"/>
      <c r="T43" s="32"/>
      <c r="U43" s="32" t="s">
        <v>776</v>
      </c>
      <c r="V43" s="253" t="s">
        <v>688</v>
      </c>
      <c r="W43" s="32" t="s">
        <v>538</v>
      </c>
      <c r="X43" s="32" t="s">
        <v>535</v>
      </c>
      <c r="Y43" s="32" t="s">
        <v>690</v>
      </c>
      <c r="Z43" s="32"/>
      <c r="AA43" s="32"/>
      <c r="AB43" s="32"/>
      <c r="AC43" s="32"/>
      <c r="AD43" s="32"/>
      <c r="AE43" s="32"/>
      <c r="AF43" s="32"/>
      <c r="AG43" s="32"/>
      <c r="AH43" s="32"/>
      <c r="AI43" s="32"/>
    </row>
    <row r="44" spans="1:35" ht="12.75">
      <c r="A44" s="32"/>
      <c r="B44" s="253" t="s">
        <v>279</v>
      </c>
      <c r="C44" s="32"/>
      <c r="D44" s="254"/>
      <c r="E44" s="32" t="s">
        <v>458</v>
      </c>
      <c r="F44" s="253" t="s">
        <v>280</v>
      </c>
      <c r="G44" s="32"/>
      <c r="H44" s="32"/>
      <c r="I44" s="32" t="s">
        <v>496</v>
      </c>
      <c r="J44" s="253" t="s">
        <v>206</v>
      </c>
      <c r="K44" s="32"/>
      <c r="L44" s="32"/>
      <c r="M44" s="32" t="s">
        <v>207</v>
      </c>
      <c r="N44" s="253" t="s">
        <v>54</v>
      </c>
      <c r="O44" s="32" t="s">
        <v>813</v>
      </c>
      <c r="P44" s="32" t="s">
        <v>809</v>
      </c>
      <c r="Q44" s="32" t="s">
        <v>55</v>
      </c>
      <c r="R44" s="253" t="s">
        <v>777</v>
      </c>
      <c r="S44" s="32"/>
      <c r="T44" s="32"/>
      <c r="U44" s="32" t="s">
        <v>778</v>
      </c>
      <c r="V44" s="253" t="s">
        <v>689</v>
      </c>
      <c r="W44" s="32" t="s">
        <v>813</v>
      </c>
      <c r="X44" s="32" t="s">
        <v>809</v>
      </c>
      <c r="Y44" s="32" t="s">
        <v>691</v>
      </c>
      <c r="Z44" s="32"/>
      <c r="AA44" s="32"/>
      <c r="AB44" s="32"/>
      <c r="AC44" s="32"/>
      <c r="AD44" s="32"/>
      <c r="AE44" s="32"/>
      <c r="AF44" s="32"/>
      <c r="AG44" s="32"/>
      <c r="AH44" s="32"/>
      <c r="AI44" s="32"/>
    </row>
    <row r="45" spans="1:35" ht="12.75">
      <c r="A45" s="32"/>
      <c r="B45" s="253"/>
      <c r="C45" s="32"/>
      <c r="D45" s="254"/>
      <c r="E45" s="32"/>
      <c r="F45" s="253"/>
      <c r="G45" s="32"/>
      <c r="H45" s="32"/>
      <c r="I45" s="32"/>
      <c r="J45" s="253"/>
      <c r="K45" s="32"/>
      <c r="L45" s="32"/>
      <c r="M45" s="32"/>
      <c r="N45" s="253"/>
      <c r="O45" s="32"/>
      <c r="P45" s="32"/>
      <c r="Q45" s="32"/>
      <c r="R45" s="253"/>
      <c r="S45" s="32"/>
      <c r="T45" s="32"/>
      <c r="U45" s="32"/>
      <c r="V45" s="253"/>
      <c r="W45" s="32"/>
      <c r="X45" s="32"/>
      <c r="Y45" s="32"/>
      <c r="Z45" s="32"/>
      <c r="AA45" s="32"/>
      <c r="AB45" s="32"/>
      <c r="AC45" s="32"/>
      <c r="AD45" s="32"/>
      <c r="AE45" s="32"/>
      <c r="AF45" s="32"/>
      <c r="AG45" s="32"/>
      <c r="AH45" s="32"/>
      <c r="AI45" s="32"/>
    </row>
    <row r="46" spans="1:35" ht="12.75">
      <c r="A46" s="32" t="s">
        <v>814</v>
      </c>
      <c r="B46" s="253" t="s">
        <v>281</v>
      </c>
      <c r="C46" s="32"/>
      <c r="D46" s="254"/>
      <c r="E46" s="32" t="s">
        <v>459</v>
      </c>
      <c r="F46" s="253" t="s">
        <v>282</v>
      </c>
      <c r="G46" s="32"/>
      <c r="H46" s="32"/>
      <c r="I46" s="32" t="s">
        <v>497</v>
      </c>
      <c r="J46" s="253" t="s">
        <v>208</v>
      </c>
      <c r="K46" s="32"/>
      <c r="L46" s="32"/>
      <c r="M46" s="32" t="s">
        <v>209</v>
      </c>
      <c r="N46" s="253" t="s">
        <v>56</v>
      </c>
      <c r="O46" s="257" t="s">
        <v>570</v>
      </c>
      <c r="P46" s="32" t="s">
        <v>535</v>
      </c>
      <c r="Q46" s="32" t="s">
        <v>57</v>
      </c>
      <c r="R46" s="253" t="s">
        <v>779</v>
      </c>
      <c r="S46" s="32"/>
      <c r="T46" s="32"/>
      <c r="U46" s="32" t="s">
        <v>780</v>
      </c>
      <c r="V46" s="253" t="s">
        <v>659</v>
      </c>
      <c r="W46" s="32" t="s">
        <v>570</v>
      </c>
      <c r="X46" s="32" t="s">
        <v>535</v>
      </c>
      <c r="Y46" s="32" t="s">
        <v>660</v>
      </c>
      <c r="Z46" s="32"/>
      <c r="AA46" s="32"/>
      <c r="AB46" s="32"/>
      <c r="AC46" s="32"/>
      <c r="AD46" s="32"/>
      <c r="AE46" s="32"/>
      <c r="AF46" s="32"/>
      <c r="AG46" s="32"/>
      <c r="AH46" s="32"/>
      <c r="AI46" s="32"/>
    </row>
    <row r="47" spans="1:35" ht="12.75">
      <c r="A47" s="32"/>
      <c r="B47" s="253" t="s">
        <v>283</v>
      </c>
      <c r="C47" s="32"/>
      <c r="D47" s="254"/>
      <c r="E47" s="32" t="s">
        <v>460</v>
      </c>
      <c r="F47" s="253" t="s">
        <v>284</v>
      </c>
      <c r="G47" s="32"/>
      <c r="H47" s="32"/>
      <c r="I47" s="32" t="s">
        <v>498</v>
      </c>
      <c r="J47" s="253" t="s">
        <v>210</v>
      </c>
      <c r="K47" s="32"/>
      <c r="L47" s="32"/>
      <c r="M47" s="32" t="s">
        <v>211</v>
      </c>
      <c r="N47" s="253" t="s">
        <v>58</v>
      </c>
      <c r="O47" s="257" t="s">
        <v>815</v>
      </c>
      <c r="P47" s="32" t="s">
        <v>809</v>
      </c>
      <c r="Q47" s="32" t="s">
        <v>59</v>
      </c>
      <c r="R47" s="253" t="s">
        <v>781</v>
      </c>
      <c r="S47" s="32"/>
      <c r="T47" s="32"/>
      <c r="U47" s="32" t="s">
        <v>782</v>
      </c>
      <c r="V47" s="253" t="s">
        <v>661</v>
      </c>
      <c r="W47" s="32" t="s">
        <v>815</v>
      </c>
      <c r="X47" s="32" t="s">
        <v>809</v>
      </c>
      <c r="Y47" s="32" t="s">
        <v>662</v>
      </c>
      <c r="Z47" s="32"/>
      <c r="AA47" s="32"/>
      <c r="AB47" s="32"/>
      <c r="AC47" s="32"/>
      <c r="AD47" s="32"/>
      <c r="AE47" s="32"/>
      <c r="AF47" s="32"/>
      <c r="AG47" s="32"/>
      <c r="AH47" s="32"/>
      <c r="AI47" s="32"/>
    </row>
    <row r="48" spans="1:35" ht="12.75">
      <c r="A48" s="32"/>
      <c r="B48" s="253"/>
      <c r="C48" s="32"/>
      <c r="D48" s="254"/>
      <c r="E48" s="32"/>
      <c r="F48" s="253"/>
      <c r="G48" s="32"/>
      <c r="H48" s="32"/>
      <c r="I48" s="32"/>
      <c r="J48" s="253"/>
      <c r="K48" s="32"/>
      <c r="L48" s="32"/>
      <c r="M48" s="32"/>
      <c r="N48" s="253"/>
      <c r="O48" s="32"/>
      <c r="P48" s="32"/>
      <c r="Q48" s="32"/>
      <c r="R48" s="253"/>
      <c r="S48" s="32"/>
      <c r="T48" s="32"/>
      <c r="U48" s="32"/>
      <c r="V48" s="253"/>
      <c r="W48" s="32"/>
      <c r="X48" s="32"/>
      <c r="Y48" s="32"/>
      <c r="Z48" s="32"/>
      <c r="AA48" s="32"/>
      <c r="AB48" s="32"/>
      <c r="AC48" s="32"/>
      <c r="AD48" s="32"/>
      <c r="AE48" s="32"/>
      <c r="AF48" s="32"/>
      <c r="AG48" s="32"/>
      <c r="AH48" s="32"/>
      <c r="AI48" s="32"/>
    </row>
    <row r="49" spans="1:35" ht="12.75">
      <c r="A49" s="32" t="s">
        <v>816</v>
      </c>
      <c r="B49" s="253"/>
      <c r="C49" s="32"/>
      <c r="D49" s="254"/>
      <c r="E49" s="32"/>
      <c r="F49" s="253"/>
      <c r="G49" s="32"/>
      <c r="H49" s="32"/>
      <c r="I49" s="32"/>
      <c r="J49" s="253"/>
      <c r="K49" s="32"/>
      <c r="L49" s="32"/>
      <c r="M49" s="32"/>
      <c r="N49" s="253" t="s">
        <v>60</v>
      </c>
      <c r="O49" s="32">
        <v>0.409</v>
      </c>
      <c r="P49" s="32" t="s">
        <v>541</v>
      </c>
      <c r="Q49" s="32" t="s">
        <v>61</v>
      </c>
      <c r="R49" s="253" t="s">
        <v>783</v>
      </c>
      <c r="S49" s="32">
        <v>9.4</v>
      </c>
      <c r="T49" s="32"/>
      <c r="U49" s="32"/>
      <c r="V49" s="253"/>
      <c r="W49" s="32"/>
      <c r="X49" s="32"/>
      <c r="Y49" s="32"/>
      <c r="Z49" s="32"/>
      <c r="AA49" s="32"/>
      <c r="AB49" s="32"/>
      <c r="AC49" s="32"/>
      <c r="AD49" s="32"/>
      <c r="AE49" s="32"/>
      <c r="AF49" s="32"/>
      <c r="AG49" s="32"/>
      <c r="AH49" s="32"/>
      <c r="AI49" s="32"/>
    </row>
    <row r="50" spans="1:35" ht="12.75">
      <c r="A50" s="32"/>
      <c r="B50" s="253"/>
      <c r="C50" s="32"/>
      <c r="D50" s="254"/>
      <c r="E50" s="32"/>
      <c r="F50" s="253"/>
      <c r="G50" s="32"/>
      <c r="H50" s="32"/>
      <c r="I50" s="32"/>
      <c r="J50" s="253"/>
      <c r="K50" s="32"/>
      <c r="L50" s="32"/>
      <c r="M50" s="32"/>
      <c r="N50" s="253" t="s">
        <v>62</v>
      </c>
      <c r="O50" s="32">
        <v>1</v>
      </c>
      <c r="P50" s="32" t="s">
        <v>817</v>
      </c>
      <c r="Q50" s="32" t="s">
        <v>63</v>
      </c>
      <c r="R50" s="253" t="s">
        <v>784</v>
      </c>
      <c r="S50" s="32">
        <v>34.2</v>
      </c>
      <c r="T50" s="32"/>
      <c r="U50" s="32"/>
      <c r="V50" s="253"/>
      <c r="W50" s="32"/>
      <c r="X50" s="32"/>
      <c r="Y50" s="32"/>
      <c r="Z50" s="32"/>
      <c r="AA50" s="32"/>
      <c r="AB50" s="32"/>
      <c r="AC50" s="32"/>
      <c r="AD50" s="32"/>
      <c r="AE50" s="32"/>
      <c r="AF50" s="32"/>
      <c r="AG50" s="32"/>
      <c r="AH50" s="32"/>
      <c r="AI50" s="32"/>
    </row>
    <row r="51" spans="1:35" ht="12.75">
      <c r="A51" s="32"/>
      <c r="B51" s="253"/>
      <c r="C51" s="32"/>
      <c r="D51" s="254"/>
      <c r="E51" s="32"/>
      <c r="F51" s="253"/>
      <c r="G51" s="32"/>
      <c r="H51" s="32"/>
      <c r="I51" s="32"/>
      <c r="J51" s="253"/>
      <c r="K51" s="32"/>
      <c r="L51" s="32"/>
      <c r="M51" s="32"/>
      <c r="N51" s="253"/>
      <c r="O51" s="32"/>
      <c r="P51" s="32"/>
      <c r="Q51" s="32"/>
      <c r="R51" s="253"/>
      <c r="S51" s="32"/>
      <c r="T51" s="32"/>
      <c r="U51" s="32"/>
      <c r="V51" s="253"/>
      <c r="W51" s="32"/>
      <c r="X51" s="32"/>
      <c r="Y51" s="32"/>
      <c r="Z51" s="32"/>
      <c r="AA51" s="32"/>
      <c r="AB51" s="32"/>
      <c r="AC51" s="32"/>
      <c r="AD51" s="32"/>
      <c r="AE51" s="32"/>
      <c r="AF51" s="32"/>
      <c r="AG51" s="32"/>
      <c r="AH51" s="32"/>
      <c r="AI51" s="32"/>
    </row>
    <row r="52" spans="1:35" ht="12.75">
      <c r="A52" s="32" t="s">
        <v>818</v>
      </c>
      <c r="B52" s="253"/>
      <c r="C52" s="32"/>
      <c r="D52" s="254"/>
      <c r="E52" s="32"/>
      <c r="F52" s="253"/>
      <c r="G52" s="32"/>
      <c r="H52" s="32"/>
      <c r="I52" s="32"/>
      <c r="J52" s="253"/>
      <c r="K52" s="32"/>
      <c r="L52" s="32"/>
      <c r="M52" s="32"/>
      <c r="N52" s="253" t="s">
        <v>64</v>
      </c>
      <c r="O52" s="32">
        <v>0.163</v>
      </c>
      <c r="P52" s="32" t="s">
        <v>580</v>
      </c>
      <c r="Q52" s="32" t="s">
        <v>65</v>
      </c>
      <c r="R52" s="253"/>
      <c r="S52" s="32"/>
      <c r="T52" s="32"/>
      <c r="U52" s="32"/>
      <c r="V52" s="253"/>
      <c r="W52" s="32"/>
      <c r="X52" s="32"/>
      <c r="Y52" s="32"/>
      <c r="Z52" s="32"/>
      <c r="AA52" s="32"/>
      <c r="AB52" s="32"/>
      <c r="AC52" s="32"/>
      <c r="AD52" s="32"/>
      <c r="AE52" s="32"/>
      <c r="AF52" s="32"/>
      <c r="AG52" s="32"/>
      <c r="AH52" s="32"/>
      <c r="AI52" s="32"/>
    </row>
    <row r="53" spans="1:35" ht="12.75">
      <c r="A53" s="32"/>
      <c r="B53" s="253"/>
      <c r="C53" s="32"/>
      <c r="D53" s="254"/>
      <c r="E53" s="32"/>
      <c r="F53" s="253"/>
      <c r="G53" s="32"/>
      <c r="H53" s="32"/>
      <c r="I53" s="32"/>
      <c r="J53" s="253"/>
      <c r="K53" s="32"/>
      <c r="L53" s="32"/>
      <c r="M53" s="32"/>
      <c r="N53" s="253" t="s">
        <v>66</v>
      </c>
      <c r="O53" s="32">
        <v>1</v>
      </c>
      <c r="P53" s="32" t="s">
        <v>547</v>
      </c>
      <c r="Q53" s="32" t="s">
        <v>67</v>
      </c>
      <c r="R53" s="253"/>
      <c r="S53" s="32"/>
      <c r="T53" s="32"/>
      <c r="U53" s="32"/>
      <c r="V53" s="253"/>
      <c r="W53" s="32"/>
      <c r="X53" s="32"/>
      <c r="Y53" s="32"/>
      <c r="Z53" s="32"/>
      <c r="AA53" s="32"/>
      <c r="AB53" s="32"/>
      <c r="AC53" s="32"/>
      <c r="AD53" s="32"/>
      <c r="AE53" s="32"/>
      <c r="AF53" s="32"/>
      <c r="AG53" s="32"/>
      <c r="AH53" s="32"/>
      <c r="AI53" s="32"/>
    </row>
    <row r="54" spans="1:35" ht="12.75">
      <c r="A54" s="32"/>
      <c r="B54" s="253"/>
      <c r="C54" s="32"/>
      <c r="D54" s="254"/>
      <c r="E54" s="32"/>
      <c r="F54" s="253"/>
      <c r="G54" s="32"/>
      <c r="H54" s="32"/>
      <c r="I54" s="32"/>
      <c r="J54" s="253"/>
      <c r="K54" s="32"/>
      <c r="L54" s="32"/>
      <c r="M54" s="32"/>
      <c r="N54" s="253"/>
      <c r="O54" s="32"/>
      <c r="P54" s="32"/>
      <c r="Q54" s="32"/>
      <c r="R54" s="253"/>
      <c r="S54" s="32"/>
      <c r="T54" s="32"/>
      <c r="U54" s="32"/>
      <c r="V54" s="253"/>
      <c r="W54" s="32"/>
      <c r="X54" s="32"/>
      <c r="Y54" s="32"/>
      <c r="Z54" s="32"/>
      <c r="AA54" s="32"/>
      <c r="AB54" s="32"/>
      <c r="AC54" s="32"/>
      <c r="AD54" s="32"/>
      <c r="AE54" s="32"/>
      <c r="AF54" s="32"/>
      <c r="AG54" s="32"/>
      <c r="AH54" s="32"/>
      <c r="AI54" s="32"/>
    </row>
    <row r="55" spans="1:35" ht="12.75">
      <c r="A55" s="32"/>
      <c r="B55" s="253"/>
      <c r="C55" s="32"/>
      <c r="D55" s="254"/>
      <c r="E55" s="32"/>
      <c r="F55" s="253"/>
      <c r="G55" s="32"/>
      <c r="H55" s="32"/>
      <c r="I55" s="32"/>
      <c r="J55" s="253"/>
      <c r="K55" s="32"/>
      <c r="L55" s="32"/>
      <c r="M55" s="32"/>
      <c r="N55" s="253"/>
      <c r="O55" s="32"/>
      <c r="P55" s="32"/>
      <c r="Q55" s="32"/>
      <c r="R55" s="253"/>
      <c r="S55" s="32"/>
      <c r="T55" s="32"/>
      <c r="U55" s="32"/>
      <c r="V55" s="253"/>
      <c r="W55" s="32"/>
      <c r="X55" s="32"/>
      <c r="Y55" s="32"/>
      <c r="Z55" s="32"/>
      <c r="AA55" s="32"/>
      <c r="AB55" s="32"/>
      <c r="AC55" s="32"/>
      <c r="AD55" s="32"/>
      <c r="AE55" s="32"/>
      <c r="AF55" s="32"/>
      <c r="AG55" s="32"/>
      <c r="AH55" s="32"/>
      <c r="AI55" s="32"/>
    </row>
    <row r="56" spans="1:35" ht="12.75">
      <c r="A56" s="32"/>
      <c r="B56" s="253"/>
      <c r="C56" s="32"/>
      <c r="D56" s="254"/>
      <c r="E56" s="32"/>
      <c r="F56" s="253"/>
      <c r="G56" s="32"/>
      <c r="H56" s="32"/>
      <c r="I56" s="32"/>
      <c r="J56" s="253" t="s">
        <v>212</v>
      </c>
      <c r="K56" s="32">
        <v>1</v>
      </c>
      <c r="L56" s="32" t="s">
        <v>819</v>
      </c>
      <c r="M56" s="32" t="s">
        <v>213</v>
      </c>
      <c r="N56" s="253"/>
      <c r="O56" s="32"/>
      <c r="P56" s="32"/>
      <c r="Q56" s="32"/>
      <c r="R56" s="253"/>
      <c r="S56" s="32"/>
      <c r="T56" s="32"/>
      <c r="U56" s="32"/>
      <c r="V56" s="253"/>
      <c r="W56" s="32"/>
      <c r="X56" s="32"/>
      <c r="Y56" s="32"/>
      <c r="Z56" s="32"/>
      <c r="AA56" s="32"/>
      <c r="AB56" s="32"/>
      <c r="AC56" s="32"/>
      <c r="AD56" s="32"/>
      <c r="AE56" s="32"/>
      <c r="AF56" s="32"/>
      <c r="AG56" s="32"/>
      <c r="AH56" s="32"/>
      <c r="AI56" s="32"/>
    </row>
    <row r="57" spans="1:35" ht="12.75">
      <c r="A57" s="32"/>
      <c r="B57" s="253"/>
      <c r="C57" s="32"/>
      <c r="D57" s="254"/>
      <c r="E57" s="32"/>
      <c r="F57" s="253"/>
      <c r="G57" s="32"/>
      <c r="H57" s="32"/>
      <c r="I57" s="32"/>
      <c r="J57" s="253" t="s">
        <v>214</v>
      </c>
      <c r="K57" s="32">
        <v>3.16</v>
      </c>
      <c r="L57" s="32" t="s">
        <v>574</v>
      </c>
      <c r="M57" s="32" t="s">
        <v>215</v>
      </c>
      <c r="N57" s="253"/>
      <c r="O57" s="32"/>
      <c r="P57" s="32"/>
      <c r="Q57" s="32"/>
      <c r="R57" s="253"/>
      <c r="S57" s="32"/>
      <c r="T57" s="32"/>
      <c r="U57" s="32"/>
      <c r="V57" s="253"/>
      <c r="W57" s="32"/>
      <c r="X57" s="32"/>
      <c r="Y57" s="32"/>
      <c r="Z57" s="32"/>
      <c r="AA57" s="32"/>
      <c r="AB57" s="32"/>
      <c r="AC57" s="32"/>
      <c r="AD57" s="32"/>
      <c r="AE57" s="32"/>
      <c r="AF57" s="32"/>
      <c r="AG57" s="32"/>
      <c r="AH57" s="32"/>
      <c r="AI57" s="32"/>
    </row>
    <row r="58" spans="1:35" ht="12.75">
      <c r="A58" s="32"/>
      <c r="B58" s="253"/>
      <c r="C58" s="32"/>
      <c r="D58" s="254"/>
      <c r="E58" s="32"/>
      <c r="F58" s="253"/>
      <c r="H58" s="32"/>
      <c r="I58" s="32"/>
      <c r="J58" s="253" t="s">
        <v>216</v>
      </c>
      <c r="K58" s="32"/>
      <c r="L58" s="32"/>
      <c r="M58" s="32" t="s">
        <v>217</v>
      </c>
      <c r="N58" s="253"/>
      <c r="O58" s="32"/>
      <c r="P58" s="32"/>
      <c r="Q58" s="32"/>
      <c r="R58" s="253"/>
      <c r="S58" s="32"/>
      <c r="T58" s="32"/>
      <c r="U58" s="32"/>
      <c r="V58" s="253"/>
      <c r="W58" s="32"/>
      <c r="X58" s="32"/>
      <c r="Y58" s="32"/>
      <c r="Z58" s="32"/>
      <c r="AA58" s="32"/>
      <c r="AB58" s="32"/>
      <c r="AC58" s="32"/>
      <c r="AD58" s="32"/>
      <c r="AE58" s="32"/>
      <c r="AF58" s="32"/>
      <c r="AG58" s="32"/>
      <c r="AH58" s="32"/>
      <c r="AI58" s="32"/>
    </row>
    <row r="59" spans="1:35" ht="12.75">
      <c r="A59" s="32"/>
      <c r="B59" s="253"/>
      <c r="C59" s="32"/>
      <c r="D59" s="254"/>
      <c r="E59" s="32"/>
      <c r="F59" s="253"/>
      <c r="G59" s="32"/>
      <c r="H59" s="32"/>
      <c r="I59" s="32"/>
      <c r="J59" s="253"/>
      <c r="K59" s="32"/>
      <c r="L59" s="32"/>
      <c r="M59" s="32"/>
      <c r="N59" s="253"/>
      <c r="O59" s="32"/>
      <c r="P59" s="32"/>
      <c r="Q59" s="32"/>
      <c r="R59" s="253"/>
      <c r="S59" s="32"/>
      <c r="T59" s="32"/>
      <c r="U59" s="32"/>
      <c r="V59" s="253"/>
      <c r="W59" s="32"/>
      <c r="X59" s="32"/>
      <c r="Y59" s="32"/>
      <c r="Z59" s="32"/>
      <c r="AA59" s="32"/>
      <c r="AB59" s="32"/>
      <c r="AC59" s="32"/>
      <c r="AD59" s="32"/>
      <c r="AE59" s="32"/>
      <c r="AF59" s="32"/>
      <c r="AG59" s="32"/>
      <c r="AH59" s="32"/>
      <c r="AI59" s="32"/>
    </row>
    <row r="60" spans="1:35" ht="12.75">
      <c r="A60" s="32"/>
      <c r="B60" s="253"/>
      <c r="C60" s="32"/>
      <c r="D60" s="254"/>
      <c r="E60" s="32"/>
      <c r="F60" s="253"/>
      <c r="G60" s="32"/>
      <c r="H60" s="32"/>
      <c r="I60" s="32"/>
      <c r="J60" s="253"/>
      <c r="K60" s="32"/>
      <c r="L60" s="32"/>
      <c r="M60" s="32"/>
      <c r="N60" s="253"/>
      <c r="O60" s="32"/>
      <c r="P60" s="32"/>
      <c r="Q60" s="32"/>
      <c r="R60" s="253"/>
      <c r="S60" s="32"/>
      <c r="T60" s="32"/>
      <c r="U60" s="32"/>
      <c r="V60" s="253"/>
      <c r="W60" s="32"/>
      <c r="X60" s="32"/>
      <c r="Y60" s="32"/>
      <c r="Z60" s="32"/>
      <c r="AA60" s="32"/>
      <c r="AB60" s="32"/>
      <c r="AC60" s="32"/>
      <c r="AD60" s="32"/>
      <c r="AE60" s="32"/>
      <c r="AF60" s="32"/>
      <c r="AG60" s="32"/>
      <c r="AH60" s="32"/>
      <c r="AI60" s="32"/>
    </row>
    <row r="61" spans="1:35" ht="12.75">
      <c r="A61" s="32" t="s">
        <v>823</v>
      </c>
      <c r="B61" s="253" t="s">
        <v>911</v>
      </c>
      <c r="C61" s="32">
        <v>0.36</v>
      </c>
      <c r="D61" s="254" t="s">
        <v>853</v>
      </c>
      <c r="E61" s="258" t="s">
        <v>461</v>
      </c>
      <c r="F61" s="253"/>
      <c r="G61" s="32"/>
      <c r="H61" s="32"/>
      <c r="I61" s="32"/>
      <c r="J61" s="253"/>
      <c r="K61" s="32"/>
      <c r="L61" s="32"/>
      <c r="M61" s="32"/>
      <c r="N61" s="253"/>
      <c r="O61" s="32"/>
      <c r="P61" s="32"/>
      <c r="Q61" s="32"/>
      <c r="R61" s="253"/>
      <c r="S61" s="32"/>
      <c r="T61" s="32"/>
      <c r="U61" s="32"/>
      <c r="V61" s="253"/>
      <c r="W61" s="32"/>
      <c r="X61" s="32"/>
      <c r="Y61" s="32"/>
      <c r="Z61" s="32"/>
      <c r="AA61" s="32"/>
      <c r="AB61" s="32"/>
      <c r="AC61" s="32"/>
      <c r="AD61" s="32"/>
      <c r="AE61" s="32"/>
      <c r="AF61" s="32"/>
      <c r="AG61" s="32"/>
      <c r="AH61" s="32"/>
      <c r="AI61" s="32"/>
    </row>
    <row r="62" spans="1:35" ht="12.75">
      <c r="A62" s="32"/>
      <c r="B62" s="253" t="s">
        <v>912</v>
      </c>
      <c r="C62" s="32">
        <v>1</v>
      </c>
      <c r="D62" s="254" t="s">
        <v>902</v>
      </c>
      <c r="E62" s="258" t="s">
        <v>462</v>
      </c>
      <c r="F62" s="253"/>
      <c r="G62" s="32"/>
      <c r="H62" s="32"/>
      <c r="I62" s="32"/>
      <c r="J62" s="253"/>
      <c r="K62" s="32"/>
      <c r="L62" s="32"/>
      <c r="M62" s="32"/>
      <c r="N62" s="253"/>
      <c r="O62" s="32"/>
      <c r="P62" s="32"/>
      <c r="Q62" s="32"/>
      <c r="R62" s="253"/>
      <c r="S62" s="32"/>
      <c r="T62" s="32"/>
      <c r="U62" s="32"/>
      <c r="V62" s="253"/>
      <c r="W62" s="32"/>
      <c r="X62" s="32"/>
      <c r="Y62" s="32"/>
      <c r="Z62" s="32"/>
      <c r="AA62" s="32"/>
      <c r="AB62" s="32"/>
      <c r="AC62" s="32"/>
      <c r="AD62" s="32"/>
      <c r="AE62" s="32"/>
      <c r="AF62" s="32"/>
      <c r="AG62" s="32"/>
      <c r="AH62" s="32"/>
      <c r="AI62" s="32"/>
    </row>
    <row r="63" spans="1:35" ht="12.75">
      <c r="A63" s="32"/>
      <c r="B63" s="253"/>
      <c r="C63" s="32"/>
      <c r="D63" s="254"/>
      <c r="E63" s="32"/>
      <c r="F63" s="253"/>
      <c r="G63" s="32"/>
      <c r="H63" s="32"/>
      <c r="I63" s="32"/>
      <c r="J63" s="253"/>
      <c r="K63" s="32"/>
      <c r="L63" s="32"/>
      <c r="M63" s="32"/>
      <c r="N63" s="253"/>
      <c r="O63" s="32"/>
      <c r="P63" s="32"/>
      <c r="Q63" s="32"/>
      <c r="R63" s="253"/>
      <c r="S63" s="32"/>
      <c r="T63" s="32"/>
      <c r="U63" s="32"/>
      <c r="V63" s="253"/>
      <c r="W63" s="32"/>
      <c r="X63" s="32"/>
      <c r="Y63" s="32"/>
      <c r="Z63" s="32"/>
      <c r="AA63" s="32"/>
      <c r="AB63" s="32"/>
      <c r="AC63" s="32"/>
      <c r="AD63" s="32"/>
      <c r="AE63" s="32"/>
      <c r="AF63" s="32"/>
      <c r="AG63" s="32"/>
      <c r="AH63" s="32"/>
      <c r="AI63" s="32"/>
    </row>
    <row r="64" spans="1:35" ht="12.75">
      <c r="A64" s="32"/>
      <c r="B64" s="253"/>
      <c r="C64" s="32"/>
      <c r="D64" s="254"/>
      <c r="E64" s="32"/>
      <c r="F64" s="253"/>
      <c r="G64" s="32"/>
      <c r="H64" s="32"/>
      <c r="I64" s="32"/>
      <c r="J64" s="253"/>
      <c r="K64" s="32"/>
      <c r="L64" s="32"/>
      <c r="M64" s="32"/>
      <c r="N64" s="253"/>
      <c r="O64" s="32"/>
      <c r="P64" s="32"/>
      <c r="Q64" s="32"/>
      <c r="R64" s="253"/>
      <c r="S64" s="32"/>
      <c r="T64" s="32"/>
      <c r="U64" s="32"/>
      <c r="V64" s="253"/>
      <c r="W64" s="32"/>
      <c r="X64" s="32"/>
      <c r="Y64" s="32"/>
      <c r="Z64" s="32"/>
      <c r="AA64" s="32"/>
      <c r="AB64" s="32"/>
      <c r="AC64" s="32"/>
      <c r="AD64" s="32"/>
      <c r="AE64" s="32"/>
      <c r="AF64" s="32"/>
      <c r="AG64" s="32"/>
      <c r="AH64" s="32"/>
      <c r="AI64" s="32"/>
    </row>
    <row r="65" spans="1:35" ht="12.75">
      <c r="A65" s="32" t="s">
        <v>868</v>
      </c>
      <c r="B65" s="253" t="s">
        <v>913</v>
      </c>
      <c r="C65" s="32">
        <v>3.12</v>
      </c>
      <c r="D65" s="254" t="s">
        <v>580</v>
      </c>
      <c r="E65" s="253" t="s">
        <v>463</v>
      </c>
      <c r="F65" s="253"/>
      <c r="G65" s="32"/>
      <c r="H65" s="32"/>
      <c r="I65" s="32"/>
      <c r="J65" s="253"/>
      <c r="K65" s="32"/>
      <c r="L65" s="32"/>
      <c r="M65" s="32"/>
      <c r="N65" s="253"/>
      <c r="O65" s="32"/>
      <c r="P65" s="32"/>
      <c r="Q65" s="32"/>
      <c r="R65" s="253"/>
      <c r="S65" s="32"/>
      <c r="T65" s="32"/>
      <c r="U65" s="32"/>
      <c r="V65" s="253"/>
      <c r="W65" s="32"/>
      <c r="X65" s="32"/>
      <c r="Y65" s="32"/>
      <c r="Z65" s="32"/>
      <c r="AA65" s="32"/>
      <c r="AB65" s="32"/>
      <c r="AC65" s="32"/>
      <c r="AD65" s="32"/>
      <c r="AE65" s="32"/>
      <c r="AF65" s="32"/>
      <c r="AG65" s="32"/>
      <c r="AH65" s="32"/>
      <c r="AI65" s="32"/>
    </row>
    <row r="66" spans="1:35" ht="12.75">
      <c r="A66" s="32"/>
      <c r="B66" s="253" t="s">
        <v>914</v>
      </c>
      <c r="C66" s="32">
        <v>1</v>
      </c>
      <c r="D66" s="254" t="s">
        <v>547</v>
      </c>
      <c r="E66" s="253" t="s">
        <v>464</v>
      </c>
      <c r="F66" s="253"/>
      <c r="G66" s="32"/>
      <c r="H66" s="32"/>
      <c r="I66" s="32"/>
      <c r="J66" s="253"/>
      <c r="K66" s="32"/>
      <c r="L66" s="32"/>
      <c r="M66" s="32"/>
      <c r="N66" s="253"/>
      <c r="O66" s="32"/>
      <c r="P66" s="32"/>
      <c r="Q66" s="32"/>
      <c r="R66" s="253"/>
      <c r="S66" s="32"/>
      <c r="T66" s="32"/>
      <c r="U66" s="32"/>
      <c r="V66" s="253"/>
      <c r="W66" s="32"/>
      <c r="X66" s="32"/>
      <c r="Y66" s="32"/>
      <c r="Z66" s="32"/>
      <c r="AA66" s="32"/>
      <c r="AB66" s="32"/>
      <c r="AC66" s="32"/>
      <c r="AD66" s="32"/>
      <c r="AE66" s="32"/>
      <c r="AF66" s="32"/>
      <c r="AG66" s="32"/>
      <c r="AH66" s="32"/>
      <c r="AI66" s="32"/>
    </row>
    <row r="67" spans="1:35" ht="12.75">
      <c r="A67" s="32"/>
      <c r="B67" s="253"/>
      <c r="C67" s="32"/>
      <c r="D67" s="254"/>
      <c r="E67" s="32"/>
      <c r="F67" s="253"/>
      <c r="G67" s="32"/>
      <c r="H67" s="32"/>
      <c r="I67" s="32"/>
      <c r="J67" s="253"/>
      <c r="K67" s="32"/>
      <c r="L67" s="32"/>
      <c r="M67" s="32"/>
      <c r="N67" s="253"/>
      <c r="O67" s="32"/>
      <c r="P67" s="32"/>
      <c r="Q67" s="32"/>
      <c r="R67" s="253"/>
      <c r="S67" s="32"/>
      <c r="T67" s="32"/>
      <c r="U67" s="32"/>
      <c r="V67" s="253"/>
      <c r="W67" s="32"/>
      <c r="X67" s="32"/>
      <c r="Y67" s="32"/>
      <c r="Z67" s="32"/>
      <c r="AA67" s="32"/>
      <c r="AB67" s="32"/>
      <c r="AC67" s="32"/>
      <c r="AD67" s="32"/>
      <c r="AE67" s="32"/>
      <c r="AF67" s="32"/>
      <c r="AG67" s="32"/>
      <c r="AH67" s="32"/>
      <c r="AI67" s="32"/>
    </row>
    <row r="68" spans="1:35" ht="12.75">
      <c r="A68" s="32" t="s">
        <v>870</v>
      </c>
      <c r="B68" s="253" t="s">
        <v>285</v>
      </c>
      <c r="C68" s="32">
        <v>0.93</v>
      </c>
      <c r="D68" s="254" t="s">
        <v>871</v>
      </c>
      <c r="E68" s="253" t="s">
        <v>465</v>
      </c>
      <c r="F68" s="253"/>
      <c r="G68" s="32"/>
      <c r="H68" s="32"/>
      <c r="I68" s="32"/>
      <c r="J68" s="253"/>
      <c r="K68" s="32"/>
      <c r="L68" s="32"/>
      <c r="M68" s="32"/>
      <c r="N68" s="253"/>
      <c r="O68" s="32"/>
      <c r="P68" s="32"/>
      <c r="Q68" s="32"/>
      <c r="R68" s="253"/>
      <c r="S68" s="32"/>
      <c r="T68" s="32"/>
      <c r="U68" s="32"/>
      <c r="V68" s="253"/>
      <c r="W68" s="32"/>
      <c r="X68" s="32"/>
      <c r="Y68" s="32"/>
      <c r="Z68" s="32"/>
      <c r="AA68" s="32"/>
      <c r="AB68" s="32"/>
      <c r="AC68" s="32"/>
      <c r="AD68" s="32"/>
      <c r="AE68" s="32"/>
      <c r="AF68" s="32"/>
      <c r="AG68" s="32"/>
      <c r="AH68" s="32"/>
      <c r="AI68" s="32"/>
    </row>
    <row r="69" spans="1:35" ht="25.5">
      <c r="A69" s="32"/>
      <c r="B69" s="253" t="s">
        <v>286</v>
      </c>
      <c r="C69" s="32">
        <f>Fillmixload_automation1-0.74</f>
        <v>0.19000000000000006</v>
      </c>
      <c r="D69" s="254" t="s">
        <v>872</v>
      </c>
      <c r="E69" s="253" t="s">
        <v>466</v>
      </c>
      <c r="F69" s="253"/>
      <c r="G69" s="32"/>
      <c r="H69" s="32"/>
      <c r="I69" s="32"/>
      <c r="J69" s="253"/>
      <c r="K69" s="32"/>
      <c r="L69" s="32"/>
      <c r="M69" s="32"/>
      <c r="N69" s="253"/>
      <c r="O69" s="32"/>
      <c r="P69" s="32"/>
      <c r="Q69" s="32"/>
      <c r="R69" s="253"/>
      <c r="S69" s="32"/>
      <c r="T69" s="32"/>
      <c r="U69" s="32"/>
      <c r="V69" s="253"/>
      <c r="W69" s="32"/>
      <c r="X69" s="32"/>
      <c r="Y69" s="32"/>
      <c r="Z69" s="32"/>
      <c r="AA69" s="32"/>
      <c r="AB69" s="32"/>
      <c r="AC69" s="32"/>
      <c r="AD69" s="32"/>
      <c r="AE69" s="32"/>
      <c r="AF69" s="32"/>
      <c r="AG69" s="32"/>
      <c r="AH69" s="32"/>
      <c r="AI69" s="32"/>
    </row>
    <row r="70" spans="2:22" ht="12.75">
      <c r="B70" s="20"/>
      <c r="F70" s="20"/>
      <c r="J70" s="20"/>
      <c r="N70" s="20"/>
      <c r="R70" s="20"/>
      <c r="V70" s="20"/>
    </row>
    <row r="71" spans="2:22" ht="12.75">
      <c r="B71" s="20"/>
      <c r="F71" s="20"/>
      <c r="J71" s="20"/>
      <c r="N71" s="20"/>
      <c r="R71" s="20"/>
      <c r="V71" s="20"/>
    </row>
    <row r="72" spans="2:22" ht="12.75">
      <c r="B72" s="20"/>
      <c r="F72" s="20"/>
      <c r="J72" s="20"/>
      <c r="N72" s="20"/>
      <c r="R72" s="20"/>
      <c r="V72" s="20"/>
    </row>
    <row r="73" spans="2:22" ht="12.75">
      <c r="B73" s="20"/>
      <c r="F73" s="20"/>
      <c r="J73" s="20"/>
      <c r="N73" s="20"/>
      <c r="R73" s="20"/>
      <c r="V73" s="20"/>
    </row>
    <row r="74" spans="2:22" ht="12.75">
      <c r="B74" s="20"/>
      <c r="F74" s="20"/>
      <c r="J74" s="20"/>
      <c r="N74" s="20"/>
      <c r="R74" s="20"/>
      <c r="V74" s="20"/>
    </row>
    <row r="75" spans="2:22" ht="12.75">
      <c r="B75" s="20"/>
      <c r="F75" s="20"/>
      <c r="J75" s="20"/>
      <c r="N75" s="20"/>
      <c r="R75" s="20"/>
      <c r="V75" s="20"/>
    </row>
    <row r="76" spans="2:22" ht="12.75">
      <c r="B76" s="20"/>
      <c r="F76" s="20"/>
      <c r="J76" s="20"/>
      <c r="N76" s="20"/>
      <c r="R76" s="20"/>
      <c r="V76" s="20"/>
    </row>
    <row r="77" spans="2:22" ht="12.75">
      <c r="B77" s="20"/>
      <c r="F77" s="20"/>
      <c r="J77" s="20"/>
      <c r="N77" s="20"/>
      <c r="R77" s="20"/>
      <c r="V77" s="20"/>
    </row>
    <row r="78" spans="2:22" ht="12.75">
      <c r="B78" s="20"/>
      <c r="F78" s="20"/>
      <c r="J78" s="20"/>
      <c r="N78" s="20"/>
      <c r="R78" s="20"/>
      <c r="V78" s="20"/>
    </row>
    <row r="79" spans="2:22" ht="12.75">
      <c r="B79" s="20"/>
      <c r="F79" s="20"/>
      <c r="J79" s="20"/>
      <c r="N79" s="20"/>
      <c r="R79" s="20"/>
      <c r="V79" s="20"/>
    </row>
    <row r="80" spans="2:22" ht="12.75">
      <c r="B80" s="20"/>
      <c r="F80" s="20"/>
      <c r="J80" s="20"/>
      <c r="N80" s="20"/>
      <c r="R80" s="20"/>
      <c r="V80" s="20"/>
    </row>
    <row r="81" spans="2:22" ht="12.75">
      <c r="B81" s="20"/>
      <c r="F81" s="20"/>
      <c r="J81" s="20"/>
      <c r="N81" s="20"/>
      <c r="R81" s="20"/>
      <c r="V81" s="20"/>
    </row>
    <row r="82" spans="2:22" ht="12.75">
      <c r="B82" s="20"/>
      <c r="F82" s="20"/>
      <c r="J82" s="20"/>
      <c r="N82" s="20"/>
      <c r="R82" s="20"/>
      <c r="V82" s="20"/>
    </row>
    <row r="83" spans="2:22" ht="12.75">
      <c r="B83" s="20"/>
      <c r="F83" s="20"/>
      <c r="J83" s="20"/>
      <c r="N83" s="20"/>
      <c r="R83" s="20"/>
      <c r="V83" s="20"/>
    </row>
    <row r="84" spans="2:22" ht="12.75">
      <c r="B84" s="20"/>
      <c r="F84" s="20"/>
      <c r="J84" s="20"/>
      <c r="N84" s="20"/>
      <c r="R84" s="20"/>
      <c r="V84" s="20"/>
    </row>
    <row r="85" spans="2:22" ht="12.75">
      <c r="B85" s="20"/>
      <c r="F85" s="20"/>
      <c r="J85" s="20"/>
      <c r="N85" s="20"/>
      <c r="R85" s="20"/>
      <c r="V85" s="20"/>
    </row>
    <row r="86" spans="2:22" ht="12.75">
      <c r="B86" s="20"/>
      <c r="F86" s="20"/>
      <c r="J86" s="20"/>
      <c r="N86" s="20"/>
      <c r="R86" s="20"/>
      <c r="V86" s="20"/>
    </row>
    <row r="87" spans="2:22" ht="12.75">
      <c r="B87" s="20"/>
      <c r="F87" s="20"/>
      <c r="J87" s="20"/>
      <c r="N87" s="20"/>
      <c r="R87" s="20"/>
      <c r="V87" s="20"/>
    </row>
    <row r="88" spans="2:22" ht="12.75">
      <c r="B88" s="20"/>
      <c r="F88" s="20"/>
      <c r="J88" s="20"/>
      <c r="N88" s="20"/>
      <c r="R88" s="20"/>
      <c r="V88" s="20"/>
    </row>
    <row r="89" spans="2:22" ht="12.75">
      <c r="B89" s="20"/>
      <c r="F89" s="20"/>
      <c r="J89" s="20"/>
      <c r="N89" s="20"/>
      <c r="R89" s="20"/>
      <c r="V89" s="20"/>
    </row>
    <row r="90" spans="2:22" ht="12.75">
      <c r="B90" s="20"/>
      <c r="F90" s="20"/>
      <c r="J90" s="20"/>
      <c r="N90" s="20"/>
      <c r="R90" s="20"/>
      <c r="V90" s="20"/>
    </row>
    <row r="91" spans="2:22" ht="12.75">
      <c r="B91" s="20"/>
      <c r="F91" s="20"/>
      <c r="J91" s="20"/>
      <c r="N91" s="20"/>
      <c r="R91" s="20"/>
      <c r="V91" s="20"/>
    </row>
    <row r="92" spans="2:22" ht="12.75">
      <c r="B92" s="20"/>
      <c r="F92" s="20"/>
      <c r="J92" s="20"/>
      <c r="N92" s="20"/>
      <c r="R92" s="20"/>
      <c r="V92" s="20"/>
    </row>
    <row r="93" spans="2:22" ht="12.75">
      <c r="B93" s="20"/>
      <c r="F93" s="20"/>
      <c r="J93" s="20"/>
      <c r="N93" s="20"/>
      <c r="R93" s="20"/>
      <c r="V93" s="20"/>
    </row>
    <row r="94" spans="2:22" ht="12.75">
      <c r="B94" s="20"/>
      <c r="F94" s="20"/>
      <c r="J94" s="20"/>
      <c r="N94" s="20"/>
      <c r="R94" s="20"/>
      <c r="V94" s="20"/>
    </row>
    <row r="95" spans="2:22" ht="12.75">
      <c r="B95" s="20"/>
      <c r="F95" s="20"/>
      <c r="J95" s="20"/>
      <c r="N95" s="20"/>
      <c r="R95" s="20"/>
      <c r="V95" s="20"/>
    </row>
    <row r="96" spans="2:22" ht="12.75">
      <c r="B96" s="20"/>
      <c r="F96" s="20"/>
      <c r="J96" s="20"/>
      <c r="N96" s="20"/>
      <c r="R96" s="20"/>
      <c r="V96" s="20"/>
    </row>
    <row r="97" spans="2:22" ht="12.75">
      <c r="B97" s="20"/>
      <c r="F97" s="20"/>
      <c r="J97" s="20"/>
      <c r="N97" s="20"/>
      <c r="R97" s="20"/>
      <c r="V97" s="20"/>
    </row>
    <row r="98" spans="2:22" ht="12.75">
      <c r="B98" s="20"/>
      <c r="F98" s="20"/>
      <c r="J98" s="20"/>
      <c r="N98" s="20"/>
      <c r="R98" s="20"/>
      <c r="V98" s="20"/>
    </row>
    <row r="99" spans="2:22" ht="12.75">
      <c r="B99" s="20"/>
      <c r="F99" s="20"/>
      <c r="J99" s="20"/>
      <c r="N99" s="20"/>
      <c r="R99" s="20"/>
      <c r="V99" s="20"/>
    </row>
    <row r="100" spans="2:22" ht="12.75">
      <c r="B100" s="20"/>
      <c r="F100" s="20"/>
      <c r="J100" s="20"/>
      <c r="N100" s="20"/>
      <c r="R100" s="20"/>
      <c r="V100" s="20"/>
    </row>
    <row r="101" spans="2:22" ht="12.75">
      <c r="B101" s="20"/>
      <c r="F101" s="20"/>
      <c r="J101" s="20"/>
      <c r="N101" s="20"/>
      <c r="R101" s="20"/>
      <c r="V101" s="20"/>
    </row>
    <row r="102" spans="2:22" ht="12.75">
      <c r="B102" s="20"/>
      <c r="F102" s="20"/>
      <c r="J102" s="20"/>
      <c r="N102" s="20"/>
      <c r="R102" s="20"/>
      <c r="V102" s="20"/>
    </row>
    <row r="103" spans="2:22" ht="12.75">
      <c r="B103" s="20"/>
      <c r="F103" s="20"/>
      <c r="J103" s="20"/>
      <c r="N103" s="20"/>
      <c r="R103" s="20"/>
      <c r="V103" s="20"/>
    </row>
    <row r="104" spans="2:22" ht="12.75">
      <c r="B104" s="20"/>
      <c r="F104" s="20"/>
      <c r="J104" s="20"/>
      <c r="N104" s="20"/>
      <c r="R104" s="20"/>
      <c r="V104" s="20"/>
    </row>
    <row r="105" spans="2:22" ht="12.75">
      <c r="B105" s="20"/>
      <c r="F105" s="20"/>
      <c r="J105" s="20"/>
      <c r="N105" s="20"/>
      <c r="R105" s="20"/>
      <c r="V105" s="20"/>
    </row>
    <row r="106" spans="2:22" ht="12.75">
      <c r="B106" s="20"/>
      <c r="F106" s="20"/>
      <c r="J106" s="20"/>
      <c r="N106" s="20"/>
      <c r="R106" s="20"/>
      <c r="V106" s="20"/>
    </row>
    <row r="107" spans="2:22" ht="12.75">
      <c r="B107" s="20"/>
      <c r="F107" s="20"/>
      <c r="J107" s="20"/>
      <c r="N107" s="20"/>
      <c r="R107" s="20"/>
      <c r="V107" s="20"/>
    </row>
    <row r="108" spans="2:22" ht="12.75">
      <c r="B108" s="20"/>
      <c r="F108" s="20"/>
      <c r="J108" s="20"/>
      <c r="N108" s="20"/>
      <c r="R108" s="20"/>
      <c r="V108" s="20"/>
    </row>
    <row r="109" spans="2:22" ht="12.75">
      <c r="B109" s="20"/>
      <c r="F109" s="20"/>
      <c r="J109" s="20"/>
      <c r="N109" s="20"/>
      <c r="R109" s="20"/>
      <c r="V109" s="20"/>
    </row>
    <row r="110" spans="2:22" ht="12.75">
      <c r="B110" s="20"/>
      <c r="F110" s="20"/>
      <c r="J110" s="20"/>
      <c r="N110" s="20"/>
      <c r="R110" s="20"/>
      <c r="V110" s="20"/>
    </row>
    <row r="111" spans="2:22" ht="12.75">
      <c r="B111" s="20"/>
      <c r="F111" s="20"/>
      <c r="J111" s="20"/>
      <c r="N111" s="20"/>
      <c r="R111" s="20"/>
      <c r="V111" s="20"/>
    </row>
    <row r="112" spans="2:22" ht="12.75">
      <c r="B112" s="20"/>
      <c r="F112" s="20"/>
      <c r="J112" s="20"/>
      <c r="N112" s="20"/>
      <c r="R112" s="20"/>
      <c r="V112" s="20"/>
    </row>
    <row r="113" spans="2:22" ht="12.75">
      <c r="B113" s="20"/>
      <c r="F113" s="20"/>
      <c r="J113" s="20"/>
      <c r="N113" s="20"/>
      <c r="R113" s="20"/>
      <c r="V113" s="20"/>
    </row>
    <row r="114" spans="2:22" ht="12.75">
      <c r="B114" s="20"/>
      <c r="F114" s="20"/>
      <c r="J114" s="20"/>
      <c r="N114" s="20"/>
      <c r="R114" s="20"/>
      <c r="V114" s="20"/>
    </row>
    <row r="115" spans="2:22" ht="12.75">
      <c r="B115" s="20"/>
      <c r="F115" s="20"/>
      <c r="J115" s="20"/>
      <c r="N115" s="20"/>
      <c r="R115" s="20"/>
      <c r="V115" s="20"/>
    </row>
    <row r="116" spans="2:22" ht="12.75">
      <c r="B116" s="20"/>
      <c r="F116" s="20"/>
      <c r="J116" s="20"/>
      <c r="N116" s="20"/>
      <c r="R116" s="20"/>
      <c r="V116" s="20"/>
    </row>
    <row r="117" spans="2:22" ht="12.75">
      <c r="B117" s="20"/>
      <c r="F117" s="20"/>
      <c r="J117" s="20"/>
      <c r="N117" s="20"/>
      <c r="R117" s="20"/>
      <c r="V117" s="20"/>
    </row>
    <row r="118" spans="2:22" ht="12.75">
      <c r="B118" s="20"/>
      <c r="F118" s="20"/>
      <c r="J118" s="20"/>
      <c r="N118" s="20"/>
      <c r="R118" s="20"/>
      <c r="V118" s="20"/>
    </row>
    <row r="119" spans="2:22" ht="12.75">
      <c r="B119" s="20"/>
      <c r="F119" s="20"/>
      <c r="J119" s="20"/>
      <c r="N119" s="20"/>
      <c r="R119" s="20"/>
      <c r="V119" s="20"/>
    </row>
    <row r="120" spans="2:22" ht="12.75">
      <c r="B120" s="20"/>
      <c r="F120" s="20"/>
      <c r="J120" s="20"/>
      <c r="N120" s="20"/>
      <c r="R120" s="20"/>
      <c r="V120" s="20"/>
    </row>
    <row r="121" spans="2:22" ht="12.75">
      <c r="B121" s="20"/>
      <c r="F121" s="20"/>
      <c r="J121" s="20"/>
      <c r="N121" s="20"/>
      <c r="R121" s="20"/>
      <c r="V121" s="20"/>
    </row>
  </sheetData>
  <sheetProtection password="EDCB" sheet="1" objects="1" scenarios="1" selectLockedCells="1" selectUnlockedCells="1"/>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5"/>
  <dimension ref="A1:B11"/>
  <sheetViews>
    <sheetView zoomScale="75" zoomScaleNormal="75" zoomScalePageLayoutView="0" workbookViewId="0" topLeftCell="A1">
      <selection activeCell="B12" sqref="B12"/>
    </sheetView>
  </sheetViews>
  <sheetFormatPr defaultColWidth="9.140625" defaultRowHeight="12.75"/>
  <cols>
    <col min="1" max="1" width="27.28125" style="0" bestFit="1" customWidth="1"/>
  </cols>
  <sheetData>
    <row r="1" ht="12.75">
      <c r="A1" t="s">
        <v>382</v>
      </c>
    </row>
    <row r="2" spans="1:2" ht="12.75">
      <c r="A2" t="s">
        <v>383</v>
      </c>
      <c r="B2">
        <v>257</v>
      </c>
    </row>
    <row r="3" spans="1:2" ht="12.75">
      <c r="A3" t="s">
        <v>393</v>
      </c>
      <c r="B3">
        <v>225</v>
      </c>
    </row>
    <row r="4" spans="1:2" ht="12.75">
      <c r="A4" t="s">
        <v>394</v>
      </c>
      <c r="B4" s="286" t="s">
        <v>629</v>
      </c>
    </row>
    <row r="5" spans="1:2" ht="12.75">
      <c r="A5" t="s">
        <v>395</v>
      </c>
      <c r="B5" s="286" t="s">
        <v>630</v>
      </c>
    </row>
    <row r="6" spans="1:2" ht="12.75">
      <c r="A6" t="s">
        <v>396</v>
      </c>
      <c r="B6">
        <v>125</v>
      </c>
    </row>
    <row r="7" spans="1:2" ht="12.75">
      <c r="A7" t="s">
        <v>397</v>
      </c>
      <c r="B7">
        <v>20</v>
      </c>
    </row>
    <row r="8" spans="1:2" ht="12.75">
      <c r="A8" t="s">
        <v>398</v>
      </c>
      <c r="B8" s="164" t="s">
        <v>400</v>
      </c>
    </row>
    <row r="9" spans="1:2" ht="12.75">
      <c r="A9" t="s">
        <v>399</v>
      </c>
      <c r="B9" s="164" t="s">
        <v>401</v>
      </c>
    </row>
    <row r="10" spans="1:2" ht="12.75">
      <c r="A10" t="s">
        <v>402</v>
      </c>
      <c r="B10" s="164" t="s">
        <v>403</v>
      </c>
    </row>
    <row r="11" spans="1:2" ht="12.75">
      <c r="A11" s="309" t="s">
        <v>943</v>
      </c>
      <c r="B11" s="164" t="s">
        <v>944</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4">
    <tabColor indexed="34"/>
  </sheetPr>
  <dimension ref="A1:Q63"/>
  <sheetViews>
    <sheetView showGridLines="0" showRowColHeaders="0" zoomScalePageLayoutView="0" workbookViewId="0" topLeftCell="A25">
      <selection activeCell="B55" sqref="B55:K55"/>
    </sheetView>
  </sheetViews>
  <sheetFormatPr defaultColWidth="9.140625" defaultRowHeight="12.75"/>
  <cols>
    <col min="1" max="1" width="2.140625" style="0" customWidth="1"/>
    <col min="2" max="2" width="26.421875" style="0" customWidth="1"/>
    <col min="3" max="3" width="14.57421875" style="0" customWidth="1"/>
    <col min="4" max="4" width="16.00390625" style="0" customWidth="1"/>
    <col min="5" max="5" width="9.28125" style="0" customWidth="1"/>
    <col min="6" max="6" width="10.8515625" style="0" customWidth="1"/>
  </cols>
  <sheetData>
    <row r="1" spans="1:17" ht="12.75">
      <c r="A1" s="1"/>
      <c r="B1" s="361" t="s">
        <v>175</v>
      </c>
      <c r="C1" s="361"/>
      <c r="D1" s="361"/>
      <c r="E1" s="361"/>
      <c r="F1" s="361"/>
      <c r="G1" s="361"/>
      <c r="H1" s="361"/>
      <c r="I1" s="361"/>
      <c r="J1" s="361"/>
      <c r="K1" s="361"/>
      <c r="L1" s="361"/>
      <c r="M1" s="361"/>
      <c r="N1" s="361"/>
      <c r="O1" s="361"/>
      <c r="P1" s="361"/>
      <c r="Q1" s="1"/>
    </row>
    <row r="2" spans="1:17" ht="12.75">
      <c r="A2" s="1"/>
      <c r="B2" s="360" t="s">
        <v>228</v>
      </c>
      <c r="C2" s="363"/>
      <c r="D2" s="363"/>
      <c r="E2" s="363"/>
      <c r="F2" s="363"/>
      <c r="G2" s="363"/>
      <c r="H2" s="363"/>
      <c r="I2" s="363"/>
      <c r="J2" s="363"/>
      <c r="K2" s="363"/>
      <c r="L2" s="363"/>
      <c r="M2" s="363"/>
      <c r="N2" s="363"/>
      <c r="O2" s="363"/>
      <c r="P2" s="363"/>
      <c r="Q2" s="1"/>
    </row>
    <row r="3" spans="1:17" ht="12.75">
      <c r="A3" s="1"/>
      <c r="B3" s="363" t="s">
        <v>229</v>
      </c>
      <c r="C3" s="363"/>
      <c r="D3" s="363"/>
      <c r="E3" s="363"/>
      <c r="F3" s="363"/>
      <c r="G3" s="363"/>
      <c r="H3" s="363"/>
      <c r="I3" s="363"/>
      <c r="J3" s="363"/>
      <c r="K3" s="363"/>
      <c r="L3" s="363"/>
      <c r="M3" s="363"/>
      <c r="N3" s="363"/>
      <c r="O3" s="363"/>
      <c r="P3" s="363"/>
      <c r="Q3" s="1"/>
    </row>
    <row r="4" spans="1:17" ht="12.75">
      <c r="A4" s="1"/>
      <c r="B4" s="363" t="s">
        <v>188</v>
      </c>
      <c r="C4" s="363"/>
      <c r="D4" s="363"/>
      <c r="E4" s="363"/>
      <c r="F4" s="363"/>
      <c r="G4" s="363"/>
      <c r="H4" s="363"/>
      <c r="I4" s="363"/>
      <c r="J4" s="363"/>
      <c r="K4" s="363"/>
      <c r="L4" s="363"/>
      <c r="M4" s="363"/>
      <c r="N4" s="363"/>
      <c r="O4" s="363"/>
      <c r="P4" s="363"/>
      <c r="Q4" s="1"/>
    </row>
    <row r="5" spans="1:17" ht="12.75">
      <c r="A5" s="1"/>
      <c r="B5" s="363" t="s">
        <v>189</v>
      </c>
      <c r="C5" s="363"/>
      <c r="D5" s="363"/>
      <c r="E5" s="363"/>
      <c r="F5" s="363"/>
      <c r="G5" s="363"/>
      <c r="H5" s="363"/>
      <c r="I5" s="363"/>
      <c r="J5" s="363"/>
      <c r="K5" s="363"/>
      <c r="L5" s="363"/>
      <c r="M5" s="363"/>
      <c r="N5" s="363"/>
      <c r="O5" s="209"/>
      <c r="P5" s="209"/>
      <c r="Q5" s="1"/>
    </row>
    <row r="6" spans="1:17" ht="12.75">
      <c r="A6" s="1"/>
      <c r="B6" s="360" t="s">
        <v>231</v>
      </c>
      <c r="C6" s="363"/>
      <c r="D6" s="363"/>
      <c r="E6" s="363"/>
      <c r="F6" s="363"/>
      <c r="G6" s="363"/>
      <c r="H6" s="363"/>
      <c r="I6" s="363"/>
      <c r="J6" s="363"/>
      <c r="K6" s="363"/>
      <c r="L6" s="363"/>
      <c r="M6" s="363"/>
      <c r="N6" s="363"/>
      <c r="O6" s="363"/>
      <c r="P6" s="363"/>
      <c r="Q6" s="1"/>
    </row>
    <row r="7" spans="1:17" ht="12.75">
      <c r="A7" s="1"/>
      <c r="B7" s="363" t="s">
        <v>230</v>
      </c>
      <c r="C7" s="363"/>
      <c r="D7" s="363"/>
      <c r="E7" s="363"/>
      <c r="F7" s="363"/>
      <c r="G7" s="363"/>
      <c r="H7" s="363"/>
      <c r="I7" s="363"/>
      <c r="J7" s="363"/>
      <c r="K7" s="363"/>
      <c r="L7" s="363"/>
      <c r="M7" s="363"/>
      <c r="N7" s="363"/>
      <c r="O7" s="363"/>
      <c r="P7" s="363"/>
      <c r="Q7" s="1"/>
    </row>
    <row r="8" spans="1:17" ht="12.75">
      <c r="A8" s="1"/>
      <c r="B8" s="360" t="s">
        <v>163</v>
      </c>
      <c r="C8" s="363"/>
      <c r="D8" s="363"/>
      <c r="E8" s="363"/>
      <c r="F8" s="363"/>
      <c r="G8" s="363"/>
      <c r="H8" s="363"/>
      <c r="I8" s="363"/>
      <c r="J8" s="363"/>
      <c r="K8" s="363"/>
      <c r="L8" s="363"/>
      <c r="M8" s="363"/>
      <c r="N8" s="363"/>
      <c r="O8" s="363"/>
      <c r="P8" s="363"/>
      <c r="Q8" s="1"/>
    </row>
    <row r="9" spans="1:17" ht="12.75">
      <c r="A9" s="1"/>
      <c r="B9" s="210"/>
      <c r="C9" s="209"/>
      <c r="D9" s="209"/>
      <c r="E9" s="209"/>
      <c r="F9" s="209"/>
      <c r="G9" s="209"/>
      <c r="H9" s="209"/>
      <c r="I9" s="209"/>
      <c r="J9" s="209"/>
      <c r="K9" s="209"/>
      <c r="L9" s="209"/>
      <c r="M9" s="209"/>
      <c r="N9" s="209"/>
      <c r="O9" s="209"/>
      <c r="P9" s="209"/>
      <c r="Q9" s="1"/>
    </row>
    <row r="10" spans="1:17" ht="12.75">
      <c r="A10" s="1"/>
      <c r="B10" s="361" t="s">
        <v>176</v>
      </c>
      <c r="C10" s="361"/>
      <c r="D10" s="361"/>
      <c r="E10" s="361"/>
      <c r="F10" s="361"/>
      <c r="G10" s="361"/>
      <c r="H10" s="361"/>
      <c r="I10" s="361"/>
      <c r="J10" s="361"/>
      <c r="K10" s="361"/>
      <c r="L10" s="361"/>
      <c r="M10" s="361"/>
      <c r="N10" s="361"/>
      <c r="O10" s="361"/>
      <c r="P10" s="361"/>
      <c r="Q10" s="1"/>
    </row>
    <row r="11" spans="1:17" ht="12.75">
      <c r="A11" s="1"/>
      <c r="B11" s="360" t="s">
        <v>170</v>
      </c>
      <c r="C11" s="363"/>
      <c r="D11" s="363"/>
      <c r="E11" s="363"/>
      <c r="F11" s="363"/>
      <c r="G11" s="363"/>
      <c r="H11" s="363"/>
      <c r="I11" s="363"/>
      <c r="J11" s="363"/>
      <c r="K11" s="363"/>
      <c r="L11" s="363"/>
      <c r="M11" s="363"/>
      <c r="N11" s="363"/>
      <c r="O11" s="363"/>
      <c r="P11" s="363"/>
      <c r="Q11" s="1"/>
    </row>
    <row r="12" spans="1:17" ht="12.75">
      <c r="A12" s="1"/>
      <c r="B12" s="363" t="s">
        <v>171</v>
      </c>
      <c r="C12" s="363"/>
      <c r="D12" s="363"/>
      <c r="E12" s="363"/>
      <c r="F12" s="363"/>
      <c r="G12" s="363"/>
      <c r="H12" s="363"/>
      <c r="I12" s="363"/>
      <c r="J12" s="363"/>
      <c r="K12" s="363"/>
      <c r="L12" s="363"/>
      <c r="M12" s="363"/>
      <c r="N12" s="363"/>
      <c r="O12" s="363"/>
      <c r="P12" s="209"/>
      <c r="Q12" s="1"/>
    </row>
    <row r="13" spans="1:17" ht="12.75">
      <c r="A13" s="1"/>
      <c r="B13" s="363" t="s">
        <v>172</v>
      </c>
      <c r="C13" s="363"/>
      <c r="D13" s="363"/>
      <c r="E13" s="363"/>
      <c r="F13" s="363"/>
      <c r="G13" s="363"/>
      <c r="H13" s="363"/>
      <c r="I13" s="363"/>
      <c r="J13" s="363"/>
      <c r="K13" s="363"/>
      <c r="L13" s="363"/>
      <c r="M13" s="363"/>
      <c r="N13" s="363"/>
      <c r="O13" s="363"/>
      <c r="P13" s="209"/>
      <c r="Q13" s="1"/>
    </row>
    <row r="14" spans="1:17" ht="12.75">
      <c r="A14" s="1"/>
      <c r="B14" s="369" t="s">
        <v>177</v>
      </c>
      <c r="C14" s="363"/>
      <c r="D14" s="363"/>
      <c r="E14" s="363"/>
      <c r="F14" s="363"/>
      <c r="G14" s="363"/>
      <c r="H14" s="363"/>
      <c r="I14" s="363"/>
      <c r="J14" s="363"/>
      <c r="K14" s="363"/>
      <c r="L14" s="363"/>
      <c r="M14" s="363"/>
      <c r="N14" s="363"/>
      <c r="O14" s="363"/>
      <c r="P14" s="363"/>
      <c r="Q14" s="1"/>
    </row>
    <row r="15" spans="1:17" ht="12.75">
      <c r="A15" s="1"/>
      <c r="B15" s="363" t="s">
        <v>178</v>
      </c>
      <c r="C15" s="363"/>
      <c r="D15" s="363"/>
      <c r="E15" s="363"/>
      <c r="F15" s="363"/>
      <c r="G15" s="363"/>
      <c r="H15" s="363"/>
      <c r="I15" s="363"/>
      <c r="J15" s="363"/>
      <c r="K15" s="363"/>
      <c r="L15" s="363"/>
      <c r="M15" s="363"/>
      <c r="N15" s="363"/>
      <c r="O15" s="363"/>
      <c r="P15" s="209"/>
      <c r="Q15" s="1"/>
    </row>
    <row r="16" spans="1:17" ht="12.75">
      <c r="A16" s="1"/>
      <c r="B16" s="360" t="s">
        <v>173</v>
      </c>
      <c r="C16" s="363"/>
      <c r="D16" s="363"/>
      <c r="E16" s="363"/>
      <c r="F16" s="363"/>
      <c r="G16" s="363"/>
      <c r="H16" s="363"/>
      <c r="I16" s="363"/>
      <c r="J16" s="363"/>
      <c r="K16" s="363"/>
      <c r="L16" s="363"/>
      <c r="M16" s="363"/>
      <c r="N16" s="363"/>
      <c r="O16" s="363"/>
      <c r="P16" s="363"/>
      <c r="Q16" s="1"/>
    </row>
    <row r="17" spans="1:17" ht="12.75">
      <c r="A17" s="1"/>
      <c r="B17" s="363" t="s">
        <v>174</v>
      </c>
      <c r="C17" s="363"/>
      <c r="D17" s="363"/>
      <c r="E17" s="363"/>
      <c r="F17" s="363"/>
      <c r="G17" s="363"/>
      <c r="H17" s="363"/>
      <c r="I17" s="363"/>
      <c r="J17" s="363"/>
      <c r="K17" s="363"/>
      <c r="L17" s="363"/>
      <c r="M17" s="363"/>
      <c r="N17" s="363"/>
      <c r="O17" s="363"/>
      <c r="P17" s="209"/>
      <c r="Q17" s="1"/>
    </row>
    <row r="18" spans="1:17" ht="12.75">
      <c r="A18" s="1"/>
      <c r="B18" s="209"/>
      <c r="C18" s="209"/>
      <c r="D18" s="209"/>
      <c r="E18" s="209"/>
      <c r="F18" s="209"/>
      <c r="G18" s="209"/>
      <c r="H18" s="209"/>
      <c r="I18" s="209"/>
      <c r="J18" s="209"/>
      <c r="K18" s="209"/>
      <c r="L18" s="209"/>
      <c r="M18" s="209"/>
      <c r="N18" s="209"/>
      <c r="O18" s="209"/>
      <c r="P18" s="209"/>
      <c r="Q18" s="1"/>
    </row>
    <row r="19" spans="1:17" ht="12.75">
      <c r="A19" s="1"/>
      <c r="B19" s="209"/>
      <c r="C19" s="209"/>
      <c r="D19" s="209"/>
      <c r="E19" s="209"/>
      <c r="F19" s="209"/>
      <c r="G19" s="209"/>
      <c r="H19" s="209"/>
      <c r="I19" s="209"/>
      <c r="J19" s="209"/>
      <c r="K19" s="209"/>
      <c r="L19" s="209"/>
      <c r="M19" s="209"/>
      <c r="N19" s="209"/>
      <c r="O19" s="209"/>
      <c r="P19" s="209"/>
      <c r="Q19" s="1"/>
    </row>
    <row r="20" spans="1:17" ht="12.75">
      <c r="A20" s="1"/>
      <c r="B20" s="361" t="s">
        <v>179</v>
      </c>
      <c r="C20" s="361"/>
      <c r="D20" s="361"/>
      <c r="E20" s="361"/>
      <c r="F20" s="361"/>
      <c r="G20" s="361"/>
      <c r="H20" s="361"/>
      <c r="I20" s="361"/>
      <c r="J20" s="361"/>
      <c r="K20" s="361"/>
      <c r="L20" s="361"/>
      <c r="M20" s="361"/>
      <c r="N20" s="361"/>
      <c r="O20" s="361"/>
      <c r="P20" s="361"/>
      <c r="Q20" s="1"/>
    </row>
    <row r="21" spans="1:17" ht="12.75">
      <c r="A21" s="1"/>
      <c r="B21" s="363" t="s">
        <v>180</v>
      </c>
      <c r="C21" s="363"/>
      <c r="D21" s="363"/>
      <c r="E21" s="363"/>
      <c r="F21" s="363"/>
      <c r="G21" s="363"/>
      <c r="H21" s="363"/>
      <c r="I21" s="363"/>
      <c r="J21" s="363"/>
      <c r="K21" s="363"/>
      <c r="L21" s="363"/>
      <c r="M21" s="363"/>
      <c r="N21" s="363"/>
      <c r="O21" s="363"/>
      <c r="P21" s="209"/>
      <c r="Q21" s="1"/>
    </row>
    <row r="22" spans="1:17" ht="12.75">
      <c r="A22" s="1"/>
      <c r="B22" s="363" t="s">
        <v>181</v>
      </c>
      <c r="C22" s="363"/>
      <c r="D22" s="363"/>
      <c r="E22" s="363"/>
      <c r="F22" s="363"/>
      <c r="G22" s="363"/>
      <c r="H22" s="363"/>
      <c r="I22" s="363"/>
      <c r="J22" s="363"/>
      <c r="K22" s="363"/>
      <c r="L22" s="363"/>
      <c r="M22" s="363"/>
      <c r="N22" s="363"/>
      <c r="O22" s="363"/>
      <c r="P22" s="209"/>
      <c r="Q22" s="1"/>
    </row>
    <row r="23" spans="1:17" ht="12.75">
      <c r="A23" s="1"/>
      <c r="B23" s="209"/>
      <c r="C23" s="209"/>
      <c r="D23" s="209"/>
      <c r="E23" s="209"/>
      <c r="F23" s="209"/>
      <c r="G23" s="209"/>
      <c r="H23" s="209"/>
      <c r="I23" s="209"/>
      <c r="J23" s="209"/>
      <c r="K23" s="209"/>
      <c r="L23" s="209"/>
      <c r="M23" s="209"/>
      <c r="N23" s="209"/>
      <c r="O23" s="209"/>
      <c r="P23" s="209"/>
      <c r="Q23" s="1"/>
    </row>
    <row r="24" spans="1:17" ht="12.75">
      <c r="A24" s="1"/>
      <c r="B24" s="211"/>
      <c r="C24" s="367" t="s">
        <v>186</v>
      </c>
      <c r="D24" s="368"/>
      <c r="E24" s="367" t="s">
        <v>185</v>
      </c>
      <c r="F24" s="368"/>
      <c r="G24" s="212"/>
      <c r="H24" s="7"/>
      <c r="I24" s="7"/>
      <c r="J24" s="213"/>
      <c r="K24" s="213"/>
      <c r="L24" s="213"/>
      <c r="M24" s="213"/>
      <c r="N24" s="209"/>
      <c r="O24" s="209"/>
      <c r="P24" s="209"/>
      <c r="Q24" s="1"/>
    </row>
    <row r="25" spans="1:17" ht="12.75">
      <c r="A25" s="1"/>
      <c r="B25" s="211" t="s">
        <v>182</v>
      </c>
      <c r="C25" s="212" t="s">
        <v>183</v>
      </c>
      <c r="D25" s="212" t="s">
        <v>184</v>
      </c>
      <c r="E25" s="212" t="s">
        <v>183</v>
      </c>
      <c r="F25" s="212" t="s">
        <v>184</v>
      </c>
      <c r="G25" s="212" t="s">
        <v>330</v>
      </c>
      <c r="H25" s="213"/>
      <c r="I25" s="213"/>
      <c r="J25" s="213"/>
      <c r="K25" s="213"/>
      <c r="L25" s="213"/>
      <c r="M25" s="213"/>
      <c r="N25" s="209"/>
      <c r="O25" s="209"/>
      <c r="P25" s="209"/>
      <c r="Q25" s="1"/>
    </row>
    <row r="26" spans="1:17" ht="12.75">
      <c r="A26" s="1"/>
      <c r="B26" s="214" t="s">
        <v>187</v>
      </c>
      <c r="C26" s="215" t="s">
        <v>92</v>
      </c>
      <c r="D26" s="311" t="s">
        <v>947</v>
      </c>
      <c r="E26" s="215" t="s">
        <v>104</v>
      </c>
      <c r="F26" s="215" t="s">
        <v>105</v>
      </c>
      <c r="G26" s="357" t="s">
        <v>946</v>
      </c>
      <c r="H26" s="358"/>
      <c r="I26" s="358"/>
      <c r="J26" s="358"/>
      <c r="K26" s="358"/>
      <c r="L26" s="358"/>
      <c r="M26" s="359"/>
      <c r="N26" s="209"/>
      <c r="O26" s="209"/>
      <c r="P26" s="209"/>
      <c r="Q26" s="1"/>
    </row>
    <row r="27" spans="1:17" ht="12.75">
      <c r="A27" s="1"/>
      <c r="B27" s="216" t="s">
        <v>363</v>
      </c>
      <c r="C27" s="217" t="s">
        <v>190</v>
      </c>
      <c r="D27" s="218" t="s">
        <v>93</v>
      </c>
      <c r="E27" s="217" t="s">
        <v>190</v>
      </c>
      <c r="F27" s="218" t="s">
        <v>106</v>
      </c>
      <c r="G27" s="364" t="s">
        <v>191</v>
      </c>
      <c r="H27" s="365"/>
      <c r="I27" s="365"/>
      <c r="J27" s="365"/>
      <c r="K27" s="365"/>
      <c r="L27" s="365"/>
      <c r="M27" s="366"/>
      <c r="N27" s="209"/>
      <c r="O27" s="209"/>
      <c r="P27" s="209"/>
      <c r="Q27" s="1"/>
    </row>
    <row r="28" spans="1:17" ht="12.75">
      <c r="A28" s="1"/>
      <c r="B28" s="216" t="s">
        <v>91</v>
      </c>
      <c r="C28" s="217" t="s">
        <v>190</v>
      </c>
      <c r="D28" s="218" t="s">
        <v>94</v>
      </c>
      <c r="E28" s="217" t="s">
        <v>190</v>
      </c>
      <c r="F28" s="218" t="s">
        <v>107</v>
      </c>
      <c r="G28" s="364" t="s">
        <v>191</v>
      </c>
      <c r="H28" s="365"/>
      <c r="I28" s="365"/>
      <c r="J28" s="365"/>
      <c r="K28" s="365"/>
      <c r="L28" s="365"/>
      <c r="M28" s="366"/>
      <c r="N28" s="209"/>
      <c r="O28" s="209"/>
      <c r="P28" s="209"/>
      <c r="Q28" s="1"/>
    </row>
    <row r="29" spans="1:17" ht="12.75">
      <c r="A29" s="1"/>
      <c r="B29" s="216" t="s">
        <v>95</v>
      </c>
      <c r="C29" s="218" t="s">
        <v>96</v>
      </c>
      <c r="D29" s="218" t="s">
        <v>97</v>
      </c>
      <c r="E29" s="218" t="s">
        <v>103</v>
      </c>
      <c r="F29" s="218" t="s">
        <v>108</v>
      </c>
      <c r="G29" s="364" t="s">
        <v>98</v>
      </c>
      <c r="H29" s="365"/>
      <c r="I29" s="365"/>
      <c r="J29" s="365"/>
      <c r="K29" s="365"/>
      <c r="L29" s="365"/>
      <c r="M29" s="366"/>
      <c r="N29" s="209"/>
      <c r="O29" s="209"/>
      <c r="P29" s="209"/>
      <c r="Q29" s="1"/>
    </row>
    <row r="30" spans="1:17" ht="12.75">
      <c r="A30" s="1"/>
      <c r="B30" s="216" t="s">
        <v>366</v>
      </c>
      <c r="C30" s="217" t="s">
        <v>190</v>
      </c>
      <c r="D30" s="217" t="s">
        <v>190</v>
      </c>
      <c r="E30" s="217" t="s">
        <v>190</v>
      </c>
      <c r="F30" s="218" t="s">
        <v>109</v>
      </c>
      <c r="G30" s="218"/>
      <c r="H30" s="219"/>
      <c r="I30" s="219"/>
      <c r="J30" s="219"/>
      <c r="K30" s="219"/>
      <c r="L30" s="219"/>
      <c r="M30" s="219"/>
      <c r="N30" s="209"/>
      <c r="O30" s="209"/>
      <c r="P30" s="209"/>
      <c r="Q30" s="1"/>
    </row>
    <row r="31" spans="1:17" ht="12.75">
      <c r="A31" s="1"/>
      <c r="B31" s="220" t="s">
        <v>99</v>
      </c>
      <c r="C31" s="221" t="s">
        <v>190</v>
      </c>
      <c r="D31" s="221" t="s">
        <v>190</v>
      </c>
      <c r="E31" s="222" t="s">
        <v>102</v>
      </c>
      <c r="F31" s="222" t="s">
        <v>110</v>
      </c>
      <c r="G31" s="222"/>
      <c r="H31" s="223"/>
      <c r="I31" s="223"/>
      <c r="J31" s="223"/>
      <c r="K31" s="223"/>
      <c r="L31" s="223"/>
      <c r="M31" s="223"/>
      <c r="N31" s="209"/>
      <c r="O31" s="209"/>
      <c r="P31" s="209"/>
      <c r="Q31" s="1"/>
    </row>
    <row r="32" spans="1:17" ht="12.75">
      <c r="A32" s="1"/>
      <c r="B32" s="209"/>
      <c r="C32" s="209"/>
      <c r="D32" s="209"/>
      <c r="E32" s="209"/>
      <c r="F32" s="209"/>
      <c r="G32" s="209"/>
      <c r="H32" s="209"/>
      <c r="I32" s="209"/>
      <c r="J32" s="209"/>
      <c r="K32" s="209"/>
      <c r="L32" s="209"/>
      <c r="M32" s="209"/>
      <c r="N32" s="209"/>
      <c r="O32" s="209"/>
      <c r="P32" s="209"/>
      <c r="Q32" s="1"/>
    </row>
    <row r="33" spans="1:17" ht="12.75">
      <c r="A33" s="1"/>
      <c r="B33" s="361" t="s">
        <v>551</v>
      </c>
      <c r="C33" s="361"/>
      <c r="D33" s="361"/>
      <c r="E33" s="361"/>
      <c r="F33" s="361"/>
      <c r="G33" s="361"/>
      <c r="H33" s="361"/>
      <c r="I33" s="361"/>
      <c r="J33" s="361"/>
      <c r="K33" s="361"/>
      <c r="L33" s="361"/>
      <c r="M33" s="361"/>
      <c r="N33" s="361"/>
      <c r="O33" s="361"/>
      <c r="P33" s="361"/>
      <c r="Q33" s="1"/>
    </row>
    <row r="34" spans="1:17" ht="12.75">
      <c r="A34" s="1"/>
      <c r="B34" s="362" t="s">
        <v>552</v>
      </c>
      <c r="C34" s="363"/>
      <c r="D34" s="363"/>
      <c r="E34" s="363"/>
      <c r="F34" s="363"/>
      <c r="G34" s="363"/>
      <c r="H34" s="363"/>
      <c r="I34" s="363"/>
      <c r="J34" s="363"/>
      <c r="K34" s="363"/>
      <c r="L34" s="363"/>
      <c r="M34" s="363"/>
      <c r="N34" s="363"/>
      <c r="O34" s="363"/>
      <c r="P34" s="363"/>
      <c r="Q34" s="1"/>
    </row>
    <row r="35" spans="1:17" ht="12.75">
      <c r="A35" s="1"/>
      <c r="B35" s="362" t="s">
        <v>557</v>
      </c>
      <c r="C35" s="363"/>
      <c r="D35" s="363"/>
      <c r="E35" s="363"/>
      <c r="F35" s="363"/>
      <c r="G35" s="363"/>
      <c r="H35" s="363"/>
      <c r="I35" s="363"/>
      <c r="J35" s="363"/>
      <c r="K35" s="363"/>
      <c r="L35" s="363"/>
      <c r="M35" s="363"/>
      <c r="N35" s="363"/>
      <c r="O35" s="363"/>
      <c r="P35" s="363"/>
      <c r="Q35" s="1"/>
    </row>
    <row r="36" spans="1:17" ht="12.75">
      <c r="A36" s="1"/>
      <c r="B36" s="371" t="s">
        <v>554</v>
      </c>
      <c r="C36" s="363"/>
      <c r="D36" s="363"/>
      <c r="E36" s="363"/>
      <c r="F36" s="363"/>
      <c r="G36" s="363"/>
      <c r="H36" s="363"/>
      <c r="I36" s="363"/>
      <c r="J36" s="363"/>
      <c r="K36" s="363"/>
      <c r="L36" s="363"/>
      <c r="M36" s="363"/>
      <c r="N36" s="363"/>
      <c r="O36" s="363"/>
      <c r="P36" s="363"/>
      <c r="Q36" s="1"/>
    </row>
    <row r="37" spans="1:17" ht="12.75">
      <c r="A37" s="1"/>
      <c r="B37" s="362" t="s">
        <v>555</v>
      </c>
      <c r="C37" s="363"/>
      <c r="D37" s="363"/>
      <c r="E37" s="363"/>
      <c r="F37" s="363"/>
      <c r="G37" s="363"/>
      <c r="H37" s="363"/>
      <c r="I37" s="363"/>
      <c r="J37" s="363"/>
      <c r="K37" s="363"/>
      <c r="L37" s="363"/>
      <c r="M37" s="363"/>
      <c r="N37" s="363"/>
      <c r="O37" s="363"/>
      <c r="P37" s="363"/>
      <c r="Q37" s="1"/>
    </row>
    <row r="38" spans="1:17" ht="12.75" customHeight="1">
      <c r="A38" s="1"/>
      <c r="B38" s="362" t="s">
        <v>556</v>
      </c>
      <c r="C38" s="363"/>
      <c r="D38" s="363"/>
      <c r="E38" s="363"/>
      <c r="F38" s="363"/>
      <c r="G38" s="363"/>
      <c r="H38" s="363"/>
      <c r="I38" s="363"/>
      <c r="J38" s="363"/>
      <c r="K38" s="363"/>
      <c r="L38" s="363"/>
      <c r="M38" s="363"/>
      <c r="N38" s="363"/>
      <c r="O38" s="363"/>
      <c r="P38" s="363"/>
      <c r="Q38" s="1"/>
    </row>
    <row r="39" spans="1:17" ht="12.75" customHeight="1">
      <c r="A39" s="1"/>
      <c r="B39" s="362" t="s">
        <v>553</v>
      </c>
      <c r="C39" s="363"/>
      <c r="D39" s="363"/>
      <c r="E39" s="363"/>
      <c r="F39" s="363"/>
      <c r="G39" s="363"/>
      <c r="H39" s="363"/>
      <c r="I39" s="363"/>
      <c r="J39" s="363"/>
      <c r="K39" s="363"/>
      <c r="L39" s="363"/>
      <c r="M39" s="363"/>
      <c r="N39" s="363"/>
      <c r="O39" s="363"/>
      <c r="P39" s="363"/>
      <c r="Q39" s="1"/>
    </row>
    <row r="40" spans="1:17" ht="12.75" customHeight="1">
      <c r="A40" s="1"/>
      <c r="B40" s="294"/>
      <c r="C40" s="209"/>
      <c r="D40" s="209"/>
      <c r="E40" s="209"/>
      <c r="F40" s="209"/>
      <c r="G40" s="209"/>
      <c r="H40" s="209"/>
      <c r="I40" s="209"/>
      <c r="J40" s="209"/>
      <c r="K40" s="209"/>
      <c r="L40" s="209"/>
      <c r="M40" s="209"/>
      <c r="N40" s="209"/>
      <c r="O40" s="209"/>
      <c r="P40" s="209"/>
      <c r="Q40" s="1"/>
    </row>
    <row r="41" spans="1:17" ht="12.75">
      <c r="A41" s="1"/>
      <c r="B41" s="370" t="s">
        <v>560</v>
      </c>
      <c r="C41" s="361"/>
      <c r="D41" s="361"/>
      <c r="E41" s="361"/>
      <c r="F41" s="361"/>
      <c r="G41" s="361"/>
      <c r="H41" s="361"/>
      <c r="I41" s="361"/>
      <c r="J41" s="361"/>
      <c r="K41" s="361"/>
      <c r="L41" s="361"/>
      <c r="M41" s="361"/>
      <c r="N41" s="361"/>
      <c r="O41" s="361"/>
      <c r="P41" s="361"/>
      <c r="Q41" s="1"/>
    </row>
    <row r="42" spans="1:17" ht="12.75">
      <c r="A42" s="1"/>
      <c r="B42" s="362" t="s">
        <v>561</v>
      </c>
      <c r="C42" s="363"/>
      <c r="D42" s="363"/>
      <c r="E42" s="363"/>
      <c r="F42" s="363"/>
      <c r="G42" s="363"/>
      <c r="H42" s="363"/>
      <c r="I42" s="363"/>
      <c r="J42" s="363"/>
      <c r="K42" s="363"/>
      <c r="L42" s="363"/>
      <c r="M42" s="363"/>
      <c r="N42" s="363"/>
      <c r="O42" s="363"/>
      <c r="P42" s="363"/>
      <c r="Q42" s="1"/>
    </row>
    <row r="43" spans="1:17" ht="12.75">
      <c r="A43" s="1"/>
      <c r="B43" s="362" t="s">
        <v>558</v>
      </c>
      <c r="C43" s="363"/>
      <c r="D43" s="363"/>
      <c r="E43" s="363"/>
      <c r="F43" s="363"/>
      <c r="G43" s="363"/>
      <c r="H43" s="363"/>
      <c r="I43" s="363"/>
      <c r="J43" s="363"/>
      <c r="K43" s="363"/>
      <c r="L43" s="363"/>
      <c r="M43" s="363"/>
      <c r="N43" s="363"/>
      <c r="O43" s="363"/>
      <c r="P43" s="363"/>
      <c r="Q43" s="1"/>
    </row>
    <row r="44" spans="1:17" ht="12.75">
      <c r="A44" s="1"/>
      <c r="B44" s="362" t="s">
        <v>559</v>
      </c>
      <c r="C44" s="363"/>
      <c r="D44" s="363"/>
      <c r="E44" s="363"/>
      <c r="F44" s="363"/>
      <c r="G44" s="363"/>
      <c r="H44" s="363"/>
      <c r="I44" s="363"/>
      <c r="J44" s="363"/>
      <c r="K44" s="363"/>
      <c r="L44" s="363"/>
      <c r="M44" s="363"/>
      <c r="N44" s="363"/>
      <c r="O44" s="363"/>
      <c r="P44" s="363"/>
      <c r="Q44" s="1"/>
    </row>
    <row r="45" spans="1:17" ht="12.75">
      <c r="A45" s="1"/>
      <c r="B45" s="1"/>
      <c r="C45" s="1"/>
      <c r="D45" s="1"/>
      <c r="E45" s="1"/>
      <c r="F45" s="1"/>
      <c r="G45" s="1"/>
      <c r="H45" s="1"/>
      <c r="I45" s="1"/>
      <c r="J45" s="1"/>
      <c r="K45" s="1"/>
      <c r="L45" s="1"/>
      <c r="M45" s="1"/>
      <c r="N45" s="1"/>
      <c r="O45" s="1"/>
      <c r="P45" s="1"/>
      <c r="Q45" s="1"/>
    </row>
    <row r="46" spans="1:17" ht="12.75">
      <c r="A46" s="1"/>
      <c r="B46" s="307" t="s">
        <v>354</v>
      </c>
      <c r="C46" s="1"/>
      <c r="D46" s="1"/>
      <c r="E46" s="1"/>
      <c r="F46" s="1"/>
      <c r="G46" s="1"/>
      <c r="H46" s="1"/>
      <c r="I46" s="1"/>
      <c r="J46" s="1"/>
      <c r="K46" s="1"/>
      <c r="L46" s="1"/>
      <c r="M46" s="1"/>
      <c r="N46" s="1"/>
      <c r="O46" s="1"/>
      <c r="P46" s="1"/>
      <c r="Q46" s="1"/>
    </row>
    <row r="47" spans="1:17" ht="12.75">
      <c r="A47" s="1"/>
      <c r="B47" s="1" t="s">
        <v>355</v>
      </c>
      <c r="C47" s="1"/>
      <c r="D47" s="1"/>
      <c r="E47" s="1"/>
      <c r="F47" s="1"/>
      <c r="G47" s="1"/>
      <c r="H47" s="1"/>
      <c r="I47" s="1"/>
      <c r="J47" s="1"/>
      <c r="K47" s="1"/>
      <c r="L47" s="1"/>
      <c r="M47" s="1"/>
      <c r="N47" s="1"/>
      <c r="O47" s="1"/>
      <c r="P47" s="1"/>
      <c r="Q47" s="1"/>
    </row>
    <row r="48" spans="1:17" ht="12.75">
      <c r="A48" s="1"/>
      <c r="B48" s="1" t="s">
        <v>356</v>
      </c>
      <c r="C48" s="1"/>
      <c r="D48" s="1"/>
      <c r="E48" s="1"/>
      <c r="F48" s="1"/>
      <c r="G48" s="1"/>
      <c r="H48" s="1"/>
      <c r="I48" s="1"/>
      <c r="J48" s="1"/>
      <c r="K48" s="1"/>
      <c r="L48" s="1"/>
      <c r="M48" s="1"/>
      <c r="N48" s="1"/>
      <c r="O48" s="1"/>
      <c r="P48" s="1"/>
      <c r="Q48" s="1"/>
    </row>
    <row r="49" spans="1:17" ht="12.75">
      <c r="A49" s="1"/>
      <c r="B49" s="308" t="s">
        <v>357</v>
      </c>
      <c r="C49" s="1"/>
      <c r="D49" s="1"/>
      <c r="E49" s="1"/>
      <c r="F49" s="1"/>
      <c r="G49" s="1"/>
      <c r="H49" s="1"/>
      <c r="I49" s="1"/>
      <c r="J49" s="1"/>
      <c r="K49" s="1"/>
      <c r="L49" s="1"/>
      <c r="M49" s="1"/>
      <c r="N49" s="1"/>
      <c r="O49" s="1"/>
      <c r="P49" s="1"/>
      <c r="Q49" s="1"/>
    </row>
    <row r="50" spans="1:17" ht="12.75">
      <c r="A50" s="1"/>
      <c r="B50" s="1"/>
      <c r="C50" s="1"/>
      <c r="D50" s="1"/>
      <c r="E50" s="1"/>
      <c r="F50" s="1"/>
      <c r="G50" s="1"/>
      <c r="H50" s="1"/>
      <c r="I50" s="1"/>
      <c r="J50" s="1"/>
      <c r="K50" s="1"/>
      <c r="L50" s="1"/>
      <c r="M50" s="1"/>
      <c r="N50" s="1"/>
      <c r="O50" s="1"/>
      <c r="P50" s="1"/>
      <c r="Q50" s="1"/>
    </row>
    <row r="51" spans="1:17" ht="12.75">
      <c r="A51" s="1"/>
      <c r="B51" s="314" t="s">
        <v>960</v>
      </c>
      <c r="C51" s="209"/>
      <c r="D51" s="209"/>
      <c r="E51" s="209"/>
      <c r="F51" s="209"/>
      <c r="G51" s="209"/>
      <c r="H51" s="209"/>
      <c r="I51" s="209"/>
      <c r="J51" s="209"/>
      <c r="K51" s="209"/>
      <c r="L51" s="209"/>
      <c r="M51" s="209"/>
      <c r="N51" s="209"/>
      <c r="O51" s="209"/>
      <c r="P51" s="209"/>
      <c r="Q51" s="1"/>
    </row>
    <row r="52" spans="1:17" ht="12.75">
      <c r="A52" s="1"/>
      <c r="B52" s="360" t="s">
        <v>955</v>
      </c>
      <c r="C52" s="360"/>
      <c r="D52" s="360"/>
      <c r="E52" s="360"/>
      <c r="F52" s="360"/>
      <c r="G52" s="360"/>
      <c r="H52" s="360"/>
      <c r="I52" s="360"/>
      <c r="J52" s="360"/>
      <c r="K52" s="360"/>
      <c r="L52" s="360"/>
      <c r="M52" s="209"/>
      <c r="N52" s="209"/>
      <c r="O52" s="209"/>
      <c r="P52" s="209"/>
      <c r="Q52" s="1"/>
    </row>
    <row r="53" spans="1:17" ht="12.75">
      <c r="A53" s="1"/>
      <c r="B53" s="360" t="s">
        <v>956</v>
      </c>
      <c r="C53" s="360"/>
      <c r="D53" s="360"/>
      <c r="E53" s="360"/>
      <c r="F53" s="360"/>
      <c r="G53" s="360"/>
      <c r="H53" s="360"/>
      <c r="I53" s="360"/>
      <c r="J53" s="360"/>
      <c r="K53" s="360"/>
      <c r="L53" s="210"/>
      <c r="M53" s="209"/>
      <c r="N53" s="209"/>
      <c r="O53" s="209"/>
      <c r="P53" s="209"/>
      <c r="Q53" s="1"/>
    </row>
    <row r="54" spans="1:17" ht="12.75">
      <c r="A54" s="315"/>
      <c r="B54" s="355" t="s">
        <v>957</v>
      </c>
      <c r="C54" s="356"/>
      <c r="D54" s="356"/>
      <c r="E54" s="356"/>
      <c r="F54" s="356"/>
      <c r="G54" s="356"/>
      <c r="H54" s="356"/>
      <c r="I54" s="356"/>
      <c r="J54" s="356"/>
      <c r="K54" s="356"/>
      <c r="L54" s="315"/>
      <c r="M54" s="315"/>
      <c r="N54" s="315"/>
      <c r="O54" s="315"/>
      <c r="P54" s="315"/>
      <c r="Q54" s="315"/>
    </row>
    <row r="55" spans="1:17" ht="12.75">
      <c r="A55" s="315"/>
      <c r="B55" s="355" t="s">
        <v>958</v>
      </c>
      <c r="C55" s="356"/>
      <c r="D55" s="356"/>
      <c r="E55" s="356"/>
      <c r="F55" s="356"/>
      <c r="G55" s="356"/>
      <c r="H55" s="356"/>
      <c r="I55" s="356"/>
      <c r="J55" s="356"/>
      <c r="K55" s="356"/>
      <c r="L55" s="315"/>
      <c r="M55" s="315"/>
      <c r="N55" s="315"/>
      <c r="O55" s="315"/>
      <c r="P55" s="315"/>
      <c r="Q55" s="315"/>
    </row>
    <row r="56" spans="1:17" ht="12.75">
      <c r="A56" s="315"/>
      <c r="B56" s="355" t="s">
        <v>959</v>
      </c>
      <c r="C56" s="356"/>
      <c r="D56" s="356"/>
      <c r="E56" s="356"/>
      <c r="F56" s="356"/>
      <c r="G56" s="356"/>
      <c r="H56" s="356"/>
      <c r="I56" s="356"/>
      <c r="J56" s="356"/>
      <c r="K56" s="356"/>
      <c r="L56" s="315"/>
      <c r="M56" s="315"/>
      <c r="N56" s="315"/>
      <c r="O56" s="315"/>
      <c r="P56" s="315"/>
      <c r="Q56" s="315"/>
    </row>
    <row r="57" spans="1:17" ht="12.75">
      <c r="A57" s="315"/>
      <c r="B57" s="315"/>
      <c r="C57" s="315"/>
      <c r="D57" s="315"/>
      <c r="E57" s="315"/>
      <c r="F57" s="315"/>
      <c r="G57" s="315"/>
      <c r="H57" s="315"/>
      <c r="I57" s="315"/>
      <c r="J57" s="315"/>
      <c r="K57" s="315"/>
      <c r="L57" s="315"/>
      <c r="M57" s="315"/>
      <c r="N57" s="315"/>
      <c r="O57" s="315"/>
      <c r="P57" s="315"/>
      <c r="Q57" s="315"/>
    </row>
    <row r="58" spans="1:17" ht="12.75">
      <c r="A58" s="315"/>
      <c r="B58" s="315"/>
      <c r="C58" s="315"/>
      <c r="D58" s="315"/>
      <c r="E58" s="315"/>
      <c r="F58" s="315"/>
      <c r="G58" s="315"/>
      <c r="H58" s="315"/>
      <c r="I58" s="315"/>
      <c r="J58" s="315"/>
      <c r="K58" s="315"/>
      <c r="L58" s="315"/>
      <c r="M58" s="315"/>
      <c r="N58" s="315"/>
      <c r="O58" s="315"/>
      <c r="P58" s="315"/>
      <c r="Q58" s="315"/>
    </row>
    <row r="59" spans="1:17" ht="12.75">
      <c r="A59" s="315"/>
      <c r="B59" s="315"/>
      <c r="C59" s="315"/>
      <c r="D59" s="315"/>
      <c r="E59" s="315"/>
      <c r="F59" s="315"/>
      <c r="G59" s="315"/>
      <c r="H59" s="315"/>
      <c r="I59" s="315"/>
      <c r="J59" s="315"/>
      <c r="K59" s="315"/>
      <c r="L59" s="315"/>
      <c r="M59" s="315"/>
      <c r="N59" s="315"/>
      <c r="O59" s="315"/>
      <c r="P59" s="315"/>
      <c r="Q59" s="315"/>
    </row>
    <row r="60" spans="1:17" ht="12.75">
      <c r="A60" s="315"/>
      <c r="B60" s="315"/>
      <c r="C60" s="315"/>
      <c r="D60" s="315"/>
      <c r="E60" s="315"/>
      <c r="F60" s="315"/>
      <c r="G60" s="315"/>
      <c r="H60" s="315"/>
      <c r="I60" s="315"/>
      <c r="J60" s="315"/>
      <c r="K60" s="315"/>
      <c r="L60" s="315"/>
      <c r="M60" s="315"/>
      <c r="N60" s="315"/>
      <c r="O60" s="315"/>
      <c r="P60" s="315"/>
      <c r="Q60" s="315"/>
    </row>
    <row r="61" spans="1:17" ht="12.75">
      <c r="A61" s="315"/>
      <c r="B61" s="315"/>
      <c r="C61" s="315"/>
      <c r="D61" s="315"/>
      <c r="E61" s="315"/>
      <c r="F61" s="315"/>
      <c r="G61" s="315"/>
      <c r="H61" s="315"/>
      <c r="I61" s="315"/>
      <c r="J61" s="315"/>
      <c r="K61" s="315"/>
      <c r="L61" s="315"/>
      <c r="M61" s="315"/>
      <c r="N61" s="315"/>
      <c r="O61" s="315"/>
      <c r="P61" s="315"/>
      <c r="Q61" s="315"/>
    </row>
    <row r="62" spans="1:17" ht="12.75">
      <c r="A62" s="315"/>
      <c r="B62" s="315"/>
      <c r="C62" s="315"/>
      <c r="D62" s="315"/>
      <c r="E62" s="315"/>
      <c r="F62" s="315"/>
      <c r="G62" s="315"/>
      <c r="H62" s="315"/>
      <c r="I62" s="315"/>
      <c r="J62" s="315"/>
      <c r="K62" s="315"/>
      <c r="L62" s="315"/>
      <c r="M62" s="315"/>
      <c r="N62" s="315"/>
      <c r="O62" s="315"/>
      <c r="P62" s="315"/>
      <c r="Q62" s="315"/>
    </row>
    <row r="63" spans="1:17" ht="12.75">
      <c r="A63" s="315"/>
      <c r="B63" s="315"/>
      <c r="C63" s="315"/>
      <c r="D63" s="315"/>
      <c r="E63" s="315"/>
      <c r="F63" s="315"/>
      <c r="G63" s="315"/>
      <c r="H63" s="315"/>
      <c r="I63" s="315"/>
      <c r="J63" s="315"/>
      <c r="K63" s="315"/>
      <c r="L63" s="315"/>
      <c r="M63" s="315"/>
      <c r="N63" s="315"/>
      <c r="O63" s="315"/>
      <c r="P63" s="315"/>
      <c r="Q63" s="315"/>
    </row>
  </sheetData>
  <sheetProtection password="EDCB" sheet="1" objects="1" scenarios="1" selectLockedCells="1"/>
  <mergeCells count="41">
    <mergeCell ref="B41:P41"/>
    <mergeCell ref="B42:P42"/>
    <mergeCell ref="B43:P43"/>
    <mergeCell ref="B44:P44"/>
    <mergeCell ref="B37:P37"/>
    <mergeCell ref="B36:P36"/>
    <mergeCell ref="B39:P39"/>
    <mergeCell ref="B38:P38"/>
    <mergeCell ref="G29:M29"/>
    <mergeCell ref="B1:P1"/>
    <mergeCell ref="B2:P2"/>
    <mergeCell ref="B3:P3"/>
    <mergeCell ref="B4:P4"/>
    <mergeCell ref="B12:O12"/>
    <mergeCell ref="B8:P8"/>
    <mergeCell ref="B13:O13"/>
    <mergeCell ref="B5:N5"/>
    <mergeCell ref="B6:P6"/>
    <mergeCell ref="B7:P7"/>
    <mergeCell ref="B10:P10"/>
    <mergeCell ref="B11:P11"/>
    <mergeCell ref="B16:P16"/>
    <mergeCell ref="B17:O17"/>
    <mergeCell ref="B14:P14"/>
    <mergeCell ref="B15:O15"/>
    <mergeCell ref="G27:M27"/>
    <mergeCell ref="B20:P20"/>
    <mergeCell ref="B21:O21"/>
    <mergeCell ref="B22:O22"/>
    <mergeCell ref="E24:F24"/>
    <mergeCell ref="C24:D24"/>
    <mergeCell ref="B56:K56"/>
    <mergeCell ref="G26:M26"/>
    <mergeCell ref="B52:L52"/>
    <mergeCell ref="B53:K53"/>
    <mergeCell ref="B54:K54"/>
    <mergeCell ref="B55:K55"/>
    <mergeCell ref="B33:P33"/>
    <mergeCell ref="B34:P34"/>
    <mergeCell ref="B35:P35"/>
    <mergeCell ref="G28:M28"/>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3">
    <tabColor indexed="34"/>
  </sheetPr>
  <dimension ref="B1:R31"/>
  <sheetViews>
    <sheetView showGridLines="0" showRowColHeaders="0" zoomScalePageLayoutView="0" workbookViewId="0" topLeftCell="A1">
      <selection activeCell="G6" sqref="G6"/>
    </sheetView>
  </sheetViews>
  <sheetFormatPr defaultColWidth="9.140625" defaultRowHeight="12.75"/>
  <cols>
    <col min="1" max="1" width="1.28515625" style="63" customWidth="1"/>
    <col min="2" max="6" width="9.140625" style="63" customWidth="1"/>
    <col min="7" max="7" width="52.421875" style="63" customWidth="1"/>
    <col min="8" max="8" width="6.8515625" style="63" customWidth="1"/>
    <col min="9" max="9" width="21.140625" style="63" customWidth="1"/>
    <col min="10" max="16384" width="9.140625" style="63" customWidth="1"/>
  </cols>
  <sheetData>
    <row r="1" spans="2:18" ht="15.75">
      <c r="B1" s="372" t="s">
        <v>904</v>
      </c>
      <c r="C1" s="373"/>
      <c r="D1" s="373"/>
      <c r="E1" s="373"/>
      <c r="F1" s="373"/>
      <c r="G1" s="373"/>
      <c r="H1" s="373"/>
      <c r="I1" s="373"/>
      <c r="J1" s="373"/>
      <c r="K1" s="373"/>
      <c r="L1" s="373"/>
      <c r="M1" s="62"/>
      <c r="N1" s="62"/>
      <c r="O1" s="62"/>
      <c r="P1" s="62"/>
      <c r="Q1" s="62"/>
      <c r="R1" s="62"/>
    </row>
    <row r="2" spans="2:18" ht="15">
      <c r="B2" s="374"/>
      <c r="C2" s="374"/>
      <c r="D2" s="374"/>
      <c r="E2" s="374"/>
      <c r="F2" s="374"/>
      <c r="G2" s="374"/>
      <c r="H2" s="374"/>
      <c r="I2" s="374"/>
      <c r="J2" s="374"/>
      <c r="K2" s="374"/>
      <c r="L2" s="374"/>
      <c r="M2" s="62"/>
      <c r="N2" s="62"/>
      <c r="O2" s="62"/>
      <c r="P2" s="62"/>
      <c r="Q2" s="62"/>
      <c r="R2" s="62"/>
    </row>
    <row r="3" spans="2:18" ht="12.75">
      <c r="B3" s="64" t="s">
        <v>877</v>
      </c>
      <c r="C3" s="65"/>
      <c r="D3" s="64"/>
      <c r="E3" s="64"/>
      <c r="F3" s="64"/>
      <c r="G3" s="64"/>
      <c r="H3" s="64"/>
      <c r="I3" s="65"/>
      <c r="J3" s="65"/>
      <c r="K3" s="65"/>
      <c r="L3" s="65"/>
      <c r="M3" s="62"/>
      <c r="N3" s="62"/>
      <c r="O3" s="62"/>
      <c r="P3" s="62"/>
      <c r="Q3" s="62"/>
      <c r="R3" s="62"/>
    </row>
    <row r="4" spans="2:18" ht="12.75">
      <c r="B4" s="64"/>
      <c r="C4" s="65"/>
      <c r="D4" s="64"/>
      <c r="E4" s="64"/>
      <c r="F4" s="64"/>
      <c r="G4" s="64"/>
      <c r="H4" s="64"/>
      <c r="I4" s="65"/>
      <c r="J4" s="65"/>
      <c r="K4" s="65"/>
      <c r="L4" s="65"/>
      <c r="M4" s="62"/>
      <c r="N4" s="62"/>
      <c r="O4" s="62"/>
      <c r="P4" s="62"/>
      <c r="Q4" s="62"/>
      <c r="R4" s="62"/>
    </row>
    <row r="5" spans="2:18" ht="12.75">
      <c r="B5" s="64" t="s">
        <v>875</v>
      </c>
      <c r="C5" s="65"/>
      <c r="D5" s="64"/>
      <c r="E5" s="64"/>
      <c r="F5" s="64"/>
      <c r="G5" s="64"/>
      <c r="H5" s="64"/>
      <c r="I5" s="65"/>
      <c r="J5" s="65"/>
      <c r="K5" s="65"/>
      <c r="L5" s="65"/>
      <c r="M5" s="62"/>
      <c r="N5" s="62"/>
      <c r="O5" s="62"/>
      <c r="P5" s="62"/>
      <c r="Q5" s="62"/>
      <c r="R5" s="62"/>
    </row>
    <row r="6" spans="2:18" ht="12.75">
      <c r="B6" s="64"/>
      <c r="C6" s="64"/>
      <c r="D6" s="64"/>
      <c r="E6" s="64"/>
      <c r="F6" s="64"/>
      <c r="G6" s="64"/>
      <c r="H6" s="64"/>
      <c r="I6" s="65"/>
      <c r="J6" s="65"/>
      <c r="K6" s="65"/>
      <c r="L6" s="65"/>
      <c r="M6" s="62"/>
      <c r="N6" s="62"/>
      <c r="O6" s="62"/>
      <c r="P6" s="62"/>
      <c r="Q6" s="62"/>
      <c r="R6" s="62"/>
    </row>
    <row r="7" spans="2:18" ht="12.75">
      <c r="B7" s="64" t="s">
        <v>390</v>
      </c>
      <c r="C7" s="64"/>
      <c r="D7" s="64"/>
      <c r="E7" s="64"/>
      <c r="F7" s="64"/>
      <c r="G7" s="64"/>
      <c r="H7" s="66"/>
      <c r="I7" s="62"/>
      <c r="J7" s="62"/>
      <c r="K7" s="65"/>
      <c r="L7" s="65"/>
      <c r="M7" s="62"/>
      <c r="N7" s="62"/>
      <c r="O7" s="62"/>
      <c r="P7" s="62"/>
      <c r="Q7" s="62"/>
      <c r="R7" s="62"/>
    </row>
    <row r="8" spans="2:18" ht="13.5" thickBot="1">
      <c r="B8" s="64"/>
      <c r="C8" s="64"/>
      <c r="D8" s="64"/>
      <c r="E8" s="64"/>
      <c r="F8" s="64"/>
      <c r="G8" s="64"/>
      <c r="H8" s="66"/>
      <c r="I8" s="62"/>
      <c r="J8" s="62"/>
      <c r="K8" s="65"/>
      <c r="L8" s="65"/>
      <c r="M8" s="62"/>
      <c r="N8" s="62"/>
      <c r="O8" s="62"/>
      <c r="P8" s="62"/>
      <c r="Q8" s="62"/>
      <c r="R8" s="62"/>
    </row>
    <row r="9" spans="2:18" ht="13.5" thickBot="1">
      <c r="B9" s="67" t="s">
        <v>878</v>
      </c>
      <c r="C9" s="64"/>
      <c r="D9" s="64"/>
      <c r="E9" s="65"/>
      <c r="F9" s="64"/>
      <c r="G9" s="64"/>
      <c r="H9" s="66"/>
      <c r="I9" s="68" t="s">
        <v>887</v>
      </c>
      <c r="J9" s="62"/>
      <c r="K9" s="65"/>
      <c r="L9" s="65"/>
      <c r="M9" s="62"/>
      <c r="N9" s="62"/>
      <c r="O9" s="62"/>
      <c r="P9" s="62"/>
      <c r="Q9" s="62"/>
      <c r="R9" s="62"/>
    </row>
    <row r="10" spans="2:18" ht="12.75">
      <c r="B10" s="64"/>
      <c r="C10" s="64"/>
      <c r="D10" s="64" t="s">
        <v>258</v>
      </c>
      <c r="E10" s="64"/>
      <c r="F10" s="64"/>
      <c r="G10" s="64"/>
      <c r="H10" s="66"/>
      <c r="I10" s="183" t="s">
        <v>259</v>
      </c>
      <c r="J10" s="62"/>
      <c r="K10" s="65"/>
      <c r="L10" s="65"/>
      <c r="M10" s="62"/>
      <c r="N10" s="62"/>
      <c r="O10" s="62"/>
      <c r="P10" s="62"/>
      <c r="Q10" s="62"/>
      <c r="R10" s="62"/>
    </row>
    <row r="11" spans="2:18" ht="12.75">
      <c r="B11" s="64" t="s">
        <v>892</v>
      </c>
      <c r="C11" s="64"/>
      <c r="D11" s="64"/>
      <c r="E11" s="64"/>
      <c r="F11" s="64"/>
      <c r="G11" s="64"/>
      <c r="H11" s="66"/>
      <c r="I11" s="62"/>
      <c r="J11" s="62"/>
      <c r="K11" s="65"/>
      <c r="L11" s="65"/>
      <c r="M11" s="62"/>
      <c r="N11" s="62"/>
      <c r="O11" s="62"/>
      <c r="P11" s="62"/>
      <c r="Q11" s="62"/>
      <c r="R11" s="62"/>
    </row>
    <row r="12" spans="2:18" ht="12.75">
      <c r="B12" s="64" t="s">
        <v>893</v>
      </c>
      <c r="C12" s="64"/>
      <c r="D12" s="64"/>
      <c r="E12" s="64"/>
      <c r="F12" s="64"/>
      <c r="G12" s="64"/>
      <c r="H12" s="66"/>
      <c r="I12" s="62"/>
      <c r="J12" s="62"/>
      <c r="K12" s="65"/>
      <c r="L12" s="65"/>
      <c r="M12" s="62"/>
      <c r="N12" s="62"/>
      <c r="O12" s="62"/>
      <c r="P12" s="62"/>
      <c r="Q12" s="62"/>
      <c r="R12" s="62"/>
    </row>
    <row r="13" spans="2:18" ht="13.5" thickBot="1">
      <c r="B13" s="64"/>
      <c r="C13" s="64"/>
      <c r="D13" s="64"/>
      <c r="E13" s="64"/>
      <c r="F13" s="64"/>
      <c r="G13" s="64"/>
      <c r="H13" s="66"/>
      <c r="I13" s="62"/>
      <c r="J13" s="62"/>
      <c r="K13" s="65"/>
      <c r="L13" s="65"/>
      <c r="M13" s="62"/>
      <c r="N13" s="62"/>
      <c r="O13" s="62"/>
      <c r="P13" s="62"/>
      <c r="Q13" s="62"/>
      <c r="R13" s="62"/>
    </row>
    <row r="14" spans="2:18" ht="13.5" thickBot="1">
      <c r="B14" s="64" t="s">
        <v>879</v>
      </c>
      <c r="C14" s="64"/>
      <c r="D14" s="64"/>
      <c r="E14" s="64"/>
      <c r="F14" s="64"/>
      <c r="G14" s="64"/>
      <c r="H14" s="66"/>
      <c r="I14" s="69" t="s">
        <v>888</v>
      </c>
      <c r="J14" s="62"/>
      <c r="K14" s="65"/>
      <c r="L14" s="65"/>
      <c r="M14" s="62"/>
      <c r="N14" s="62"/>
      <c r="O14" s="62"/>
      <c r="P14" s="62"/>
      <c r="Q14" s="62"/>
      <c r="R14" s="62"/>
    </row>
    <row r="15" spans="2:18" ht="15.75">
      <c r="B15" s="64"/>
      <c r="C15" s="64"/>
      <c r="D15" s="64"/>
      <c r="E15" s="64"/>
      <c r="F15" s="64"/>
      <c r="G15" s="70"/>
      <c r="H15" s="71"/>
      <c r="I15" s="62"/>
      <c r="J15" s="62"/>
      <c r="K15" s="65"/>
      <c r="L15" s="65"/>
      <c r="M15" s="62"/>
      <c r="N15" s="62"/>
      <c r="O15" s="62"/>
      <c r="P15" s="62"/>
      <c r="Q15" s="62"/>
      <c r="R15" s="62"/>
    </row>
    <row r="16" spans="2:18" ht="27" customHeight="1">
      <c r="B16" s="64" t="s">
        <v>880</v>
      </c>
      <c r="C16" s="64"/>
      <c r="D16" s="64"/>
      <c r="E16" s="64"/>
      <c r="F16" s="64"/>
      <c r="G16" s="64"/>
      <c r="H16" s="66"/>
      <c r="I16" s="72" t="s">
        <v>889</v>
      </c>
      <c r="J16" s="62"/>
      <c r="K16" s="65"/>
      <c r="L16" s="65"/>
      <c r="M16" s="62"/>
      <c r="N16" s="62"/>
      <c r="O16" s="62"/>
      <c r="P16" s="62"/>
      <c r="Q16" s="62"/>
      <c r="R16" s="62"/>
    </row>
    <row r="17" spans="2:18" ht="12.75">
      <c r="B17" s="64" t="s">
        <v>881</v>
      </c>
      <c r="C17" s="64"/>
      <c r="D17" s="64"/>
      <c r="E17" s="64"/>
      <c r="F17" s="64"/>
      <c r="G17" s="64"/>
      <c r="H17" s="66"/>
      <c r="I17" s="62"/>
      <c r="J17" s="62"/>
      <c r="K17" s="65"/>
      <c r="L17" s="65"/>
      <c r="M17" s="62"/>
      <c r="N17" s="62"/>
      <c r="O17" s="62"/>
      <c r="P17" s="62"/>
      <c r="Q17" s="62"/>
      <c r="R17" s="62"/>
    </row>
    <row r="18" spans="2:18" ht="12.75">
      <c r="B18" s="64"/>
      <c r="C18" s="64"/>
      <c r="D18" s="64"/>
      <c r="E18" s="64"/>
      <c r="F18" s="64"/>
      <c r="G18" s="64"/>
      <c r="H18" s="66"/>
      <c r="I18" s="62"/>
      <c r="J18" s="62"/>
      <c r="K18" s="65"/>
      <c r="L18" s="65"/>
      <c r="M18" s="62"/>
      <c r="N18" s="62"/>
      <c r="O18" s="62"/>
      <c r="P18" s="62"/>
      <c r="Q18" s="62"/>
      <c r="R18" s="62"/>
    </row>
    <row r="19" spans="2:18" ht="12.75">
      <c r="B19" s="64" t="s">
        <v>882</v>
      </c>
      <c r="C19" s="64"/>
      <c r="D19" s="64"/>
      <c r="E19" s="64"/>
      <c r="F19" s="64"/>
      <c r="G19" s="73"/>
      <c r="H19" s="74"/>
      <c r="I19" s="75" t="s">
        <v>891</v>
      </c>
      <c r="J19" s="62"/>
      <c r="K19" s="65"/>
      <c r="L19" s="65"/>
      <c r="M19" s="62"/>
      <c r="N19" s="62"/>
      <c r="O19" s="62"/>
      <c r="P19" s="62"/>
      <c r="Q19" s="62"/>
      <c r="R19" s="62"/>
    </row>
    <row r="20" spans="2:18" ht="12.75">
      <c r="B20" s="64"/>
      <c r="C20" s="64"/>
      <c r="D20" s="64"/>
      <c r="E20" s="64"/>
      <c r="F20" s="64"/>
      <c r="G20" s="64"/>
      <c r="H20" s="66"/>
      <c r="I20" s="62"/>
      <c r="J20" s="62"/>
      <c r="K20" s="65"/>
      <c r="L20" s="65"/>
      <c r="M20" s="62"/>
      <c r="N20" s="62"/>
      <c r="O20" s="62"/>
      <c r="P20" s="62"/>
      <c r="Q20" s="62"/>
      <c r="R20" s="62"/>
    </row>
    <row r="21" spans="2:18" ht="12.75">
      <c r="B21" s="64" t="s">
        <v>883</v>
      </c>
      <c r="C21" s="64"/>
      <c r="D21" s="64"/>
      <c r="E21" s="64"/>
      <c r="F21" s="64"/>
      <c r="G21" s="64"/>
      <c r="H21" s="66"/>
      <c r="I21" s="62"/>
      <c r="J21" s="62"/>
      <c r="K21" s="65"/>
      <c r="L21" s="65"/>
      <c r="M21" s="62"/>
      <c r="N21" s="62"/>
      <c r="O21" s="62"/>
      <c r="P21" s="62"/>
      <c r="Q21" s="62"/>
      <c r="R21" s="62"/>
    </row>
    <row r="22" spans="2:18" ht="15.75">
      <c r="B22" s="76"/>
      <c r="C22" s="64"/>
      <c r="D22" s="64"/>
      <c r="E22" s="64"/>
      <c r="F22" s="64"/>
      <c r="G22" s="64"/>
      <c r="H22" s="66"/>
      <c r="I22" s="62"/>
      <c r="J22" s="62"/>
      <c r="K22" s="65"/>
      <c r="L22" s="65"/>
      <c r="M22" s="62"/>
      <c r="N22" s="62"/>
      <c r="O22" s="62"/>
      <c r="P22" s="62"/>
      <c r="Q22" s="62"/>
      <c r="R22" s="62"/>
    </row>
    <row r="23" spans="2:18" ht="12.75">
      <c r="B23" s="77" t="s">
        <v>886</v>
      </c>
      <c r="C23" s="77"/>
      <c r="D23" s="77"/>
      <c r="E23" s="77"/>
      <c r="F23" s="77"/>
      <c r="G23" s="77"/>
      <c r="H23" s="66"/>
      <c r="I23" s="62"/>
      <c r="J23" s="62"/>
      <c r="K23" s="65"/>
      <c r="L23" s="65"/>
      <c r="M23" s="62"/>
      <c r="N23" s="62"/>
      <c r="O23" s="62"/>
      <c r="P23" s="62"/>
      <c r="Q23" s="62"/>
      <c r="R23" s="62"/>
    </row>
    <row r="24" spans="3:18" ht="12.75">
      <c r="C24" s="64"/>
      <c r="D24" s="64"/>
      <c r="E24" s="64"/>
      <c r="F24" s="64"/>
      <c r="G24" s="64"/>
      <c r="H24" s="66"/>
      <c r="I24" s="62"/>
      <c r="J24" s="62"/>
      <c r="K24" s="65"/>
      <c r="L24" s="65"/>
      <c r="M24" s="62"/>
      <c r="N24" s="62"/>
      <c r="O24" s="62"/>
      <c r="P24" s="62"/>
      <c r="Q24" s="62"/>
      <c r="R24" s="62"/>
    </row>
    <row r="25" spans="2:18" ht="13.5" thickBot="1">
      <c r="B25" s="64" t="s">
        <v>884</v>
      </c>
      <c r="C25" s="64"/>
      <c r="D25" s="64"/>
      <c r="E25" s="64"/>
      <c r="F25" s="64"/>
      <c r="G25" s="64"/>
      <c r="H25" s="66"/>
      <c r="I25" s="62"/>
      <c r="J25" s="62"/>
      <c r="K25" s="65"/>
      <c r="L25" s="65"/>
      <c r="M25" s="62"/>
      <c r="N25" s="62"/>
      <c r="O25" s="62"/>
      <c r="P25" s="62"/>
      <c r="Q25" s="62"/>
      <c r="R25" s="62"/>
    </row>
    <row r="26" spans="2:18" ht="13.5" thickBot="1">
      <c r="B26" s="78" t="s">
        <v>885</v>
      </c>
      <c r="C26" s="64"/>
      <c r="D26" s="64"/>
      <c r="E26" s="64"/>
      <c r="F26" s="64"/>
      <c r="G26" s="64"/>
      <c r="H26" s="66"/>
      <c r="I26" s="79" t="s">
        <v>890</v>
      </c>
      <c r="J26" s="62"/>
      <c r="K26" s="65"/>
      <c r="L26" s="65"/>
      <c r="M26" s="62"/>
      <c r="N26" s="62"/>
      <c r="O26" s="62"/>
      <c r="P26" s="62"/>
      <c r="Q26" s="62"/>
      <c r="R26" s="62"/>
    </row>
    <row r="27" spans="2:18" ht="12.75">
      <c r="B27" s="184" t="s">
        <v>260</v>
      </c>
      <c r="C27" s="64"/>
      <c r="D27" s="64"/>
      <c r="E27" s="64"/>
      <c r="F27" s="64"/>
      <c r="G27" s="64"/>
      <c r="H27" s="66"/>
      <c r="I27" s="62"/>
      <c r="J27" s="62"/>
      <c r="K27" s="65"/>
      <c r="L27" s="65"/>
      <c r="M27" s="62"/>
      <c r="N27" s="62"/>
      <c r="O27" s="62"/>
      <c r="P27" s="62"/>
      <c r="Q27" s="62"/>
      <c r="R27" s="62"/>
    </row>
    <row r="28" spans="2:18" ht="12.75">
      <c r="B28" s="375" t="s">
        <v>391</v>
      </c>
      <c r="C28" s="375"/>
      <c r="D28" s="375"/>
      <c r="E28" s="375"/>
      <c r="F28" s="375"/>
      <c r="G28" s="375"/>
      <c r="H28" s="66"/>
      <c r="I28" s="80" t="s">
        <v>894</v>
      </c>
      <c r="J28" s="62"/>
      <c r="K28" s="65"/>
      <c r="L28" s="65"/>
      <c r="M28" s="62"/>
      <c r="N28" s="62"/>
      <c r="O28" s="62"/>
      <c r="P28" s="62"/>
      <c r="Q28" s="62"/>
      <c r="R28" s="62"/>
    </row>
    <row r="29" spans="2:18" ht="12.75">
      <c r="B29" s="64"/>
      <c r="C29" s="64"/>
      <c r="D29" s="64"/>
      <c r="E29" s="64"/>
      <c r="F29" s="64"/>
      <c r="G29" s="64"/>
      <c r="H29" s="66"/>
      <c r="I29" s="185" t="s">
        <v>261</v>
      </c>
      <c r="J29" s="62"/>
      <c r="K29" s="65"/>
      <c r="L29" s="65"/>
      <c r="M29" s="62"/>
      <c r="N29" s="62"/>
      <c r="O29" s="62"/>
      <c r="P29" s="62"/>
      <c r="Q29" s="62"/>
      <c r="R29" s="62"/>
    </row>
    <row r="30" spans="2:18" ht="12.75">
      <c r="B30" s="64" t="s">
        <v>111</v>
      </c>
      <c r="C30" s="64"/>
      <c r="D30" s="64"/>
      <c r="E30" s="64"/>
      <c r="F30" s="64"/>
      <c r="G30" s="64"/>
      <c r="H30" s="64"/>
      <c r="I30" s="65"/>
      <c r="J30" s="65"/>
      <c r="K30" s="65"/>
      <c r="L30" s="65"/>
      <c r="M30" s="62"/>
      <c r="N30" s="62"/>
      <c r="O30" s="62"/>
      <c r="P30" s="62"/>
      <c r="Q30" s="62"/>
      <c r="R30" s="62"/>
    </row>
    <row r="31" spans="3:18" ht="12.75">
      <c r="C31" s="64"/>
      <c r="D31" s="64"/>
      <c r="E31" s="64"/>
      <c r="F31" s="64"/>
      <c r="G31" s="64"/>
      <c r="H31" s="64"/>
      <c r="I31" s="65"/>
      <c r="J31" s="65"/>
      <c r="K31" s="65"/>
      <c r="L31" s="65"/>
      <c r="M31" s="62"/>
      <c r="N31" s="62"/>
      <c r="O31" s="62"/>
      <c r="P31" s="62"/>
      <c r="Q31" s="62"/>
      <c r="R31" s="62"/>
    </row>
  </sheetData>
  <sheetProtection password="EDCB" sheet="1" objects="1" scenarios="1" selectLockedCells="1" selectUnlockedCells="1"/>
  <mergeCells count="3">
    <mergeCell ref="B1:L1"/>
    <mergeCell ref="B2:L2"/>
    <mergeCell ref="B28:G28"/>
  </mergeCells>
  <dataValidations count="1">
    <dataValidation type="list" allowBlank="1" showInputMessage="1" showErrorMessage="1" prompt="Select an option from the list.&#10;If he exact task or scenario is not in the list, choose the most similar scenario." error="You can only select an option from the list" sqref="G10 H10:H13 G12">
      <formula1>$S$9:$S$31</formula1>
    </dataValidation>
  </dataValidations>
  <printOptions/>
  <pageMargins left="0.75" right="0.75" top="1" bottom="1" header="0.5" footer="0.5"/>
  <pageSetup horizontalDpi="600" verticalDpi="6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U46"/>
  <sheetViews>
    <sheetView showRowColHeaders="0" zoomScalePageLayoutView="0" workbookViewId="0" topLeftCell="A1">
      <selection activeCell="H3" sqref="H3"/>
    </sheetView>
  </sheetViews>
  <sheetFormatPr defaultColWidth="9.140625" defaultRowHeight="12.75"/>
  <cols>
    <col min="1" max="1" width="2.421875" style="0" customWidth="1"/>
    <col min="16" max="16" width="18.8515625" style="0" customWidth="1"/>
  </cols>
  <sheetData>
    <row r="1" spans="1:21" ht="12.75">
      <c r="A1" s="1"/>
      <c r="B1" s="1"/>
      <c r="C1" s="1"/>
      <c r="D1" s="1"/>
      <c r="E1" s="1"/>
      <c r="F1" s="1"/>
      <c r="G1" s="1"/>
      <c r="H1" s="1"/>
      <c r="I1" s="1"/>
      <c r="J1" s="1"/>
      <c r="K1" s="1"/>
      <c r="L1" s="1"/>
      <c r="M1" s="1"/>
      <c r="N1" s="1"/>
      <c r="O1" s="1"/>
      <c r="P1" s="1"/>
      <c r="Q1" s="1"/>
      <c r="R1" s="1"/>
      <c r="S1" s="1"/>
      <c r="T1" s="1"/>
      <c r="U1" s="1"/>
    </row>
    <row r="2" spans="1:21" ht="12.75">
      <c r="A2" s="1"/>
      <c r="B2" s="1"/>
      <c r="C2" s="1"/>
      <c r="D2" s="1"/>
      <c r="E2" s="1"/>
      <c r="F2" s="1"/>
      <c r="G2" s="1"/>
      <c r="H2" s="1"/>
      <c r="I2" s="1"/>
      <c r="J2" s="1"/>
      <c r="K2" s="1"/>
      <c r="L2" s="1"/>
      <c r="M2" s="1"/>
      <c r="N2" s="1"/>
      <c r="O2" s="1"/>
      <c r="P2" s="1"/>
      <c r="Q2" s="1"/>
      <c r="R2" s="1"/>
      <c r="S2" s="1"/>
      <c r="T2" s="1"/>
      <c r="U2" s="1"/>
    </row>
    <row r="3" spans="1:21" ht="15.75">
      <c r="A3" s="1"/>
      <c r="B3" s="182" t="s">
        <v>167</v>
      </c>
      <c r="C3" s="1"/>
      <c r="D3" s="1"/>
      <c r="E3" s="1"/>
      <c r="F3" s="1"/>
      <c r="G3" s="1"/>
      <c r="H3" s="284"/>
      <c r="I3" s="270"/>
      <c r="J3" s="270"/>
      <c r="K3" s="271"/>
      <c r="L3" s="7"/>
      <c r="M3" s="7"/>
      <c r="N3" s="7"/>
      <c r="O3" s="1"/>
      <c r="P3" s="1"/>
      <c r="Q3" s="1"/>
      <c r="R3" s="1"/>
      <c r="S3" s="1"/>
      <c r="T3" s="1"/>
      <c r="U3" s="1"/>
    </row>
    <row r="4" s="1" customFormat="1" ht="12.75">
      <c r="A4" s="62"/>
    </row>
    <row r="5" spans="1:21" ht="15.75">
      <c r="A5" s="1"/>
      <c r="B5" s="182" t="s">
        <v>120</v>
      </c>
      <c r="C5" s="1"/>
      <c r="D5" s="1"/>
      <c r="E5" s="1"/>
      <c r="F5" s="1"/>
      <c r="G5" s="1"/>
      <c r="H5" s="1"/>
      <c r="I5" s="1"/>
      <c r="J5" s="1"/>
      <c r="K5" s="1"/>
      <c r="L5" s="1"/>
      <c r="M5" s="1"/>
      <c r="N5" s="1"/>
      <c r="O5" s="1"/>
      <c r="P5" s="1"/>
      <c r="Q5" s="1"/>
      <c r="R5" s="1"/>
      <c r="S5" s="1"/>
      <c r="T5" s="1"/>
      <c r="U5" s="1"/>
    </row>
    <row r="6" spans="1:21" ht="12.75">
      <c r="A6" s="1"/>
      <c r="B6" s="1"/>
      <c r="C6" s="1"/>
      <c r="D6" s="1"/>
      <c r="E6" s="1"/>
      <c r="F6" s="1"/>
      <c r="G6" s="1"/>
      <c r="H6" s="1"/>
      <c r="I6" s="1"/>
      <c r="J6" s="1"/>
      <c r="K6" s="1"/>
      <c r="L6" s="1"/>
      <c r="M6" s="1"/>
      <c r="N6" s="1"/>
      <c r="O6" s="1"/>
      <c r="P6" s="1"/>
      <c r="Q6" s="1"/>
      <c r="R6" s="1"/>
      <c r="S6" s="1"/>
      <c r="T6" s="1"/>
      <c r="U6" s="1"/>
    </row>
    <row r="7" spans="1:21" ht="12.75">
      <c r="A7" s="1"/>
      <c r="B7" s="1"/>
      <c r="C7" s="207"/>
      <c r="D7" s="1"/>
      <c r="E7" s="1" t="s">
        <v>264</v>
      </c>
      <c r="F7" s="1"/>
      <c r="G7" s="1"/>
      <c r="H7" s="1"/>
      <c r="I7" s="1" t="s">
        <v>265</v>
      </c>
      <c r="J7" s="1"/>
      <c r="K7" s="1"/>
      <c r="L7" s="1"/>
      <c r="M7" s="1"/>
      <c r="N7" s="1"/>
      <c r="O7" s="1"/>
      <c r="P7" s="1"/>
      <c r="Q7" s="1"/>
      <c r="R7" s="1"/>
      <c r="S7" s="1"/>
      <c r="T7" s="1"/>
      <c r="U7" s="1"/>
    </row>
    <row r="8" spans="1:21" ht="12.75">
      <c r="A8" s="1"/>
      <c r="B8" s="1"/>
      <c r="C8" s="1"/>
      <c r="D8" s="1"/>
      <c r="E8" s="1" t="s">
        <v>263</v>
      </c>
      <c r="F8" s="1"/>
      <c r="G8" s="1"/>
      <c r="H8" s="1"/>
      <c r="I8" s="1" t="s">
        <v>266</v>
      </c>
      <c r="J8" s="1"/>
      <c r="K8" s="1"/>
      <c r="L8" s="1"/>
      <c r="M8" s="1"/>
      <c r="N8" s="1"/>
      <c r="O8" s="1"/>
      <c r="P8" s="1"/>
      <c r="Q8" s="1"/>
      <c r="R8" s="1"/>
      <c r="S8" s="1"/>
      <c r="T8" s="1"/>
      <c r="U8" s="1"/>
    </row>
    <row r="9" spans="1:21" ht="12.75">
      <c r="A9" s="1"/>
      <c r="B9" s="1"/>
      <c r="C9" s="1"/>
      <c r="D9" s="1"/>
      <c r="E9" s="1"/>
      <c r="F9" s="1"/>
      <c r="G9" s="1"/>
      <c r="H9" s="1"/>
      <c r="I9" s="1" t="s">
        <v>273</v>
      </c>
      <c r="J9" s="1"/>
      <c r="K9" s="1"/>
      <c r="L9" s="1"/>
      <c r="M9" s="1"/>
      <c r="N9" s="1"/>
      <c r="O9" s="1"/>
      <c r="P9" s="1"/>
      <c r="Q9" s="1"/>
      <c r="R9" s="1"/>
      <c r="S9" s="1"/>
      <c r="T9" s="1"/>
      <c r="U9" s="1"/>
    </row>
    <row r="10" spans="1:21" ht="12.75">
      <c r="A10" s="1"/>
      <c r="B10" s="1"/>
      <c r="C10" s="1"/>
      <c r="D10" s="1"/>
      <c r="E10" s="1"/>
      <c r="F10" s="1"/>
      <c r="G10" s="1"/>
      <c r="H10" s="1"/>
      <c r="I10" s="1"/>
      <c r="J10" s="1"/>
      <c r="K10" s="1"/>
      <c r="L10" s="1"/>
      <c r="M10" s="1"/>
      <c r="N10" s="1"/>
      <c r="O10" s="1"/>
      <c r="P10" s="1"/>
      <c r="Q10" s="1"/>
      <c r="R10" s="1"/>
      <c r="S10" s="1"/>
      <c r="T10" s="1"/>
      <c r="U10" s="1"/>
    </row>
    <row r="11" spans="1:21" ht="12.75">
      <c r="A11" s="1"/>
      <c r="B11" s="1"/>
      <c r="C11" s="1"/>
      <c r="D11" s="1"/>
      <c r="E11" s="1" t="s">
        <v>267</v>
      </c>
      <c r="F11" s="1"/>
      <c r="G11" s="1"/>
      <c r="H11" s="1"/>
      <c r="I11" s="1" t="s">
        <v>268</v>
      </c>
      <c r="J11" s="1"/>
      <c r="K11" s="1"/>
      <c r="L11" s="1"/>
      <c r="M11" s="1"/>
      <c r="N11" s="1"/>
      <c r="O11" s="1"/>
      <c r="P11" s="1"/>
      <c r="Q11" s="1"/>
      <c r="R11" s="1"/>
      <c r="S11" s="1"/>
      <c r="T11" s="1"/>
      <c r="U11" s="1"/>
    </row>
    <row r="12" spans="1:21" ht="12.75">
      <c r="A12" s="1"/>
      <c r="B12" s="1"/>
      <c r="C12" s="1"/>
      <c r="D12" s="1"/>
      <c r="E12" s="1"/>
      <c r="F12" s="1"/>
      <c r="G12" s="1"/>
      <c r="H12" s="1"/>
      <c r="I12" s="1" t="s">
        <v>269</v>
      </c>
      <c r="J12" s="1"/>
      <c r="K12" s="1"/>
      <c r="L12" s="1"/>
      <c r="M12" s="1"/>
      <c r="N12" s="1"/>
      <c r="O12" s="1"/>
      <c r="P12" s="1"/>
      <c r="Q12" s="1"/>
      <c r="R12" s="1"/>
      <c r="S12" s="1"/>
      <c r="T12" s="1"/>
      <c r="U12" s="1"/>
    </row>
    <row r="13" spans="1:21" ht="12.75">
      <c r="A13" s="1"/>
      <c r="B13" s="1"/>
      <c r="C13" s="1"/>
      <c r="D13" s="1"/>
      <c r="E13" s="1"/>
      <c r="F13" s="1"/>
      <c r="G13" s="1"/>
      <c r="H13" s="1"/>
      <c r="I13" s="1" t="s">
        <v>274</v>
      </c>
      <c r="J13" s="1"/>
      <c r="K13" s="1"/>
      <c r="L13" s="1"/>
      <c r="M13" s="1"/>
      <c r="N13" s="1"/>
      <c r="O13" s="1"/>
      <c r="P13" s="1"/>
      <c r="Q13" s="1"/>
      <c r="R13" s="1"/>
      <c r="S13" s="1"/>
      <c r="T13" s="1"/>
      <c r="U13" s="1"/>
    </row>
    <row r="14" spans="1:21" ht="12.75">
      <c r="A14" s="1"/>
      <c r="B14" s="1"/>
      <c r="C14" s="1"/>
      <c r="D14" s="1"/>
      <c r="E14" s="1"/>
      <c r="F14" s="1"/>
      <c r="G14" s="1"/>
      <c r="H14" s="1"/>
      <c r="I14" s="1"/>
      <c r="J14" s="1"/>
      <c r="K14" s="1"/>
      <c r="L14" s="1"/>
      <c r="M14" s="1"/>
      <c r="N14" s="1"/>
      <c r="O14" s="1"/>
      <c r="P14" s="1"/>
      <c r="Q14" s="1"/>
      <c r="R14" s="1"/>
      <c r="S14" s="1"/>
      <c r="T14" s="1"/>
      <c r="U14" s="1"/>
    </row>
    <row r="15" spans="1:21" ht="12.75">
      <c r="A15" s="1"/>
      <c r="B15" s="1"/>
      <c r="C15" s="1"/>
      <c r="D15" s="1"/>
      <c r="E15" s="1" t="s">
        <v>270</v>
      </c>
      <c r="F15" s="1"/>
      <c r="G15" s="1"/>
      <c r="H15" s="1"/>
      <c r="I15" s="1" t="s">
        <v>271</v>
      </c>
      <c r="J15" s="1"/>
      <c r="K15" s="1"/>
      <c r="L15" s="1"/>
      <c r="M15" s="1"/>
      <c r="N15" s="1"/>
      <c r="O15" s="1"/>
      <c r="P15" s="1"/>
      <c r="Q15" s="1"/>
      <c r="R15" s="1"/>
      <c r="S15" s="1"/>
      <c r="T15" s="1"/>
      <c r="U15" s="1"/>
    </row>
    <row r="16" spans="1:21" ht="12.75">
      <c r="A16" s="1"/>
      <c r="B16" s="1"/>
      <c r="C16" s="1"/>
      <c r="D16" s="1"/>
      <c r="E16" s="1"/>
      <c r="F16" s="1"/>
      <c r="G16" s="1"/>
      <c r="H16" s="1"/>
      <c r="I16" s="1" t="s">
        <v>272</v>
      </c>
      <c r="J16" s="1"/>
      <c r="K16" s="1"/>
      <c r="L16" s="1"/>
      <c r="M16" s="1"/>
      <c r="N16" s="1"/>
      <c r="O16" s="1"/>
      <c r="P16" s="1"/>
      <c r="Q16" s="1"/>
      <c r="R16" s="1"/>
      <c r="S16" s="1"/>
      <c r="T16" s="1"/>
      <c r="U16" s="1"/>
    </row>
    <row r="17" spans="1:21" ht="12.75">
      <c r="A17" s="1"/>
      <c r="B17" s="1"/>
      <c r="C17" s="1"/>
      <c r="D17" s="1"/>
      <c r="E17" s="1"/>
      <c r="F17" s="1"/>
      <c r="G17" s="1"/>
      <c r="H17" s="1"/>
      <c r="I17" s="1"/>
      <c r="J17" s="1"/>
      <c r="K17" s="1"/>
      <c r="L17" s="1"/>
      <c r="M17" s="1"/>
      <c r="N17" s="1"/>
      <c r="O17" s="1"/>
      <c r="P17" s="1"/>
      <c r="Q17" s="1"/>
      <c r="R17" s="1"/>
      <c r="S17" s="1"/>
      <c r="T17" s="1"/>
      <c r="U17" s="1"/>
    </row>
    <row r="18" spans="1:21" ht="12.75">
      <c r="A18" s="1"/>
      <c r="B18" s="1"/>
      <c r="C18" s="1"/>
      <c r="D18" s="1"/>
      <c r="E18" s="1"/>
      <c r="F18" s="1"/>
      <c r="G18" s="1"/>
      <c r="H18" s="1"/>
      <c r="I18" s="1"/>
      <c r="J18" s="1"/>
      <c r="K18" s="1"/>
      <c r="L18" s="1"/>
      <c r="M18" s="1"/>
      <c r="N18" s="1"/>
      <c r="O18" s="1"/>
      <c r="P18" s="1"/>
      <c r="Q18" s="1"/>
      <c r="R18" s="1"/>
      <c r="S18" s="1"/>
      <c r="T18" s="1"/>
      <c r="U18" s="1"/>
    </row>
    <row r="19" spans="1:21" ht="12.75">
      <c r="A19" s="1"/>
      <c r="B19" s="1"/>
      <c r="C19" s="1"/>
      <c r="D19" s="1"/>
      <c r="E19" s="1" t="s">
        <v>68</v>
      </c>
      <c r="F19" s="1"/>
      <c r="G19" s="1"/>
      <c r="H19" s="1"/>
      <c r="I19" s="1" t="s">
        <v>69</v>
      </c>
      <c r="J19" s="1"/>
      <c r="K19" s="1"/>
      <c r="L19" s="1"/>
      <c r="M19" s="1"/>
      <c r="N19" s="1"/>
      <c r="O19" s="1"/>
      <c r="P19" s="1"/>
      <c r="Q19" s="1"/>
      <c r="R19" s="1"/>
      <c r="S19" s="1"/>
      <c r="T19" s="1"/>
      <c r="U19" s="1"/>
    </row>
    <row r="20" spans="1:21" ht="12.75">
      <c r="A20" s="1"/>
      <c r="B20" s="1"/>
      <c r="C20" s="1"/>
      <c r="D20" s="1"/>
      <c r="E20" s="1"/>
      <c r="F20" s="1"/>
      <c r="G20" s="1"/>
      <c r="H20" s="1"/>
      <c r="I20" s="1" t="s">
        <v>70</v>
      </c>
      <c r="J20" s="1"/>
      <c r="K20" s="1"/>
      <c r="L20" s="1"/>
      <c r="M20" s="1"/>
      <c r="N20" s="1"/>
      <c r="O20" s="1"/>
      <c r="P20" s="1"/>
      <c r="Q20" s="1"/>
      <c r="R20" s="1"/>
      <c r="S20" s="1"/>
      <c r="T20" s="1"/>
      <c r="U20" s="1"/>
    </row>
    <row r="21" spans="1:21" ht="12.75">
      <c r="A21" s="1"/>
      <c r="B21" s="1"/>
      <c r="C21" s="1"/>
      <c r="D21" s="1"/>
      <c r="E21" s="1"/>
      <c r="F21" s="1"/>
      <c r="G21" s="1"/>
      <c r="H21" s="1"/>
      <c r="I21" s="1" t="s">
        <v>71</v>
      </c>
      <c r="J21" s="1"/>
      <c r="K21" s="1"/>
      <c r="L21" s="1"/>
      <c r="M21" s="1"/>
      <c r="N21" s="1"/>
      <c r="O21" s="1"/>
      <c r="P21" s="1"/>
      <c r="Q21" s="1"/>
      <c r="R21" s="1"/>
      <c r="S21" s="1"/>
      <c r="T21" s="1"/>
      <c r="U21" s="1"/>
    </row>
    <row r="22" spans="1:21" ht="12.75">
      <c r="A22" s="1"/>
      <c r="B22" s="1"/>
      <c r="C22" s="1"/>
      <c r="D22" s="1"/>
      <c r="E22" s="1"/>
      <c r="F22" s="1"/>
      <c r="G22" s="1"/>
      <c r="H22" s="1"/>
      <c r="I22" s="1"/>
      <c r="J22" s="1"/>
      <c r="K22" s="1"/>
      <c r="L22" s="1"/>
      <c r="M22" s="1"/>
      <c r="N22" s="1"/>
      <c r="O22" s="1"/>
      <c r="P22" s="1"/>
      <c r="Q22" s="1"/>
      <c r="R22" s="1"/>
      <c r="S22" s="1"/>
      <c r="T22" s="1"/>
      <c r="U22" s="1"/>
    </row>
    <row r="23" spans="1:21" ht="12.75">
      <c r="A23" s="1"/>
      <c r="B23" s="1"/>
      <c r="C23" s="1"/>
      <c r="D23" s="1"/>
      <c r="E23" s="1" t="s">
        <v>692</v>
      </c>
      <c r="F23" s="1"/>
      <c r="G23" s="1"/>
      <c r="H23" s="1"/>
      <c r="I23" s="1" t="s">
        <v>694</v>
      </c>
      <c r="J23" s="1"/>
      <c r="K23" s="1"/>
      <c r="L23" s="1"/>
      <c r="M23" s="1"/>
      <c r="N23" s="1"/>
      <c r="O23" s="1"/>
      <c r="P23" s="1"/>
      <c r="Q23" s="1"/>
      <c r="R23" s="1"/>
      <c r="S23" s="1"/>
      <c r="T23" s="1"/>
      <c r="U23" s="1"/>
    </row>
    <row r="24" spans="1:21" ht="12.75">
      <c r="A24" s="1"/>
      <c r="B24" s="1"/>
      <c r="C24" s="1"/>
      <c r="D24" s="1"/>
      <c r="E24" s="1"/>
      <c r="F24" s="1"/>
      <c r="G24" s="1"/>
      <c r="H24" s="1"/>
      <c r="I24" s="1" t="s">
        <v>695</v>
      </c>
      <c r="J24" s="1"/>
      <c r="K24" s="1"/>
      <c r="L24" s="1"/>
      <c r="M24" s="1"/>
      <c r="N24" s="1"/>
      <c r="O24" s="1"/>
      <c r="P24" s="1"/>
      <c r="Q24" s="1"/>
      <c r="R24" s="1"/>
      <c r="S24" s="1"/>
      <c r="T24" s="1"/>
      <c r="U24" s="1"/>
    </row>
    <row r="25" spans="1:21" ht="12.75">
      <c r="A25" s="1"/>
      <c r="B25" s="1"/>
      <c r="C25" s="1"/>
      <c r="D25" s="1"/>
      <c r="E25" s="1"/>
      <c r="F25" s="1"/>
      <c r="G25" s="1"/>
      <c r="H25" s="1"/>
      <c r="I25" s="1"/>
      <c r="J25" s="1"/>
      <c r="K25" s="1"/>
      <c r="L25" s="1"/>
      <c r="M25" s="1"/>
      <c r="N25" s="1"/>
      <c r="O25" s="1"/>
      <c r="P25" s="1"/>
      <c r="Q25" s="1"/>
      <c r="R25" s="1"/>
      <c r="S25" s="1"/>
      <c r="T25" s="1"/>
      <c r="U25" s="1"/>
    </row>
    <row r="26" spans="1:21" ht="12.75">
      <c r="A26" s="1"/>
      <c r="B26" s="1"/>
      <c r="C26" s="1"/>
      <c r="D26" s="1"/>
      <c r="E26" s="1" t="s">
        <v>693</v>
      </c>
      <c r="F26" s="1"/>
      <c r="G26" s="1"/>
      <c r="H26" s="1"/>
      <c r="I26" s="1" t="s">
        <v>698</v>
      </c>
      <c r="J26" s="1"/>
      <c r="K26" s="1"/>
      <c r="L26" s="1"/>
      <c r="M26" s="1"/>
      <c r="N26" s="1"/>
      <c r="O26" s="1"/>
      <c r="P26" s="1"/>
      <c r="Q26" s="1"/>
      <c r="R26" s="1"/>
      <c r="S26" s="1"/>
      <c r="T26" s="1"/>
      <c r="U26" s="1"/>
    </row>
    <row r="27" spans="1:21" ht="12.75">
      <c r="A27" s="1"/>
      <c r="B27" s="1"/>
      <c r="C27" s="1"/>
      <c r="D27" s="1"/>
      <c r="E27" s="1"/>
      <c r="F27" s="1"/>
      <c r="G27" s="1"/>
      <c r="H27" s="1"/>
      <c r="I27" s="1" t="s">
        <v>696</v>
      </c>
      <c r="J27" s="1"/>
      <c r="K27" s="1"/>
      <c r="L27" s="1"/>
      <c r="M27" s="1"/>
      <c r="N27" s="1"/>
      <c r="O27" s="1"/>
      <c r="P27" s="1"/>
      <c r="Q27" s="1"/>
      <c r="R27" s="1"/>
      <c r="S27" s="1"/>
      <c r="T27" s="1"/>
      <c r="U27" s="1"/>
    </row>
    <row r="28" spans="1:21" ht="12.75">
      <c r="A28" s="1"/>
      <c r="B28" s="1"/>
      <c r="C28" s="1"/>
      <c r="D28" s="1"/>
      <c r="E28" s="1"/>
      <c r="F28" s="1"/>
      <c r="G28" s="1"/>
      <c r="H28" s="1"/>
      <c r="I28" s="1" t="s">
        <v>697</v>
      </c>
      <c r="J28" s="1"/>
      <c r="K28" s="1"/>
      <c r="L28" s="1"/>
      <c r="M28" s="1"/>
      <c r="N28" s="1"/>
      <c r="O28" s="1"/>
      <c r="P28" s="1"/>
      <c r="Q28" s="1"/>
      <c r="R28" s="1"/>
      <c r="S28" s="1"/>
      <c r="T28" s="1"/>
      <c r="U28" s="1"/>
    </row>
    <row r="29" spans="1:21" ht="12.75">
      <c r="A29" s="1"/>
      <c r="B29" s="1"/>
      <c r="C29" s="1"/>
      <c r="D29" s="1"/>
      <c r="E29" s="1"/>
      <c r="F29" s="1"/>
      <c r="G29" s="1"/>
      <c r="H29" s="1"/>
      <c r="I29" s="1"/>
      <c r="J29" s="1"/>
      <c r="K29" s="1"/>
      <c r="L29" s="1"/>
      <c r="M29" s="1"/>
      <c r="N29" s="1"/>
      <c r="O29" s="1"/>
      <c r="P29" s="1"/>
      <c r="Q29" s="1"/>
      <c r="R29" s="1"/>
      <c r="S29" s="1"/>
      <c r="T29" s="1"/>
      <c r="U29" s="1"/>
    </row>
    <row r="30" spans="1:21" ht="15.75">
      <c r="A30" s="1"/>
      <c r="B30" s="182"/>
      <c r="C30" s="1"/>
      <c r="D30" s="1"/>
      <c r="E30" s="1"/>
      <c r="F30" s="1"/>
      <c r="G30" s="1"/>
      <c r="H30" s="1"/>
      <c r="I30" s="1"/>
      <c r="J30" s="1"/>
      <c r="K30" s="1"/>
      <c r="L30" s="1"/>
      <c r="M30" s="1"/>
      <c r="N30" s="1"/>
      <c r="O30" s="1"/>
      <c r="P30" s="1"/>
      <c r="Q30" s="1"/>
      <c r="R30" s="1"/>
      <c r="S30" s="1"/>
      <c r="T30" s="1"/>
      <c r="U30" s="1"/>
    </row>
    <row r="31" spans="1:21" ht="12.75">
      <c r="A31" s="1"/>
      <c r="B31" s="1"/>
      <c r="C31" s="1"/>
      <c r="D31" s="1"/>
      <c r="E31" s="1"/>
      <c r="F31" s="1"/>
      <c r="G31" s="1"/>
      <c r="H31" s="1"/>
      <c r="I31" s="1"/>
      <c r="J31" s="1"/>
      <c r="K31" s="1"/>
      <c r="L31" s="1"/>
      <c r="M31" s="1"/>
      <c r="N31" s="1"/>
      <c r="O31" s="1"/>
      <c r="P31" s="1"/>
      <c r="Q31" s="1"/>
      <c r="R31" s="1"/>
      <c r="S31" s="1"/>
      <c r="T31" s="1"/>
      <c r="U31" s="1"/>
    </row>
    <row r="32" spans="1:21" ht="12.75">
      <c r="A32" s="1"/>
      <c r="B32" s="1"/>
      <c r="C32" s="1"/>
      <c r="D32" s="1"/>
      <c r="E32" s="1"/>
      <c r="F32" s="1"/>
      <c r="G32" s="1"/>
      <c r="H32" s="1"/>
      <c r="I32" s="1"/>
      <c r="J32" s="1"/>
      <c r="K32" s="1"/>
      <c r="L32" s="1"/>
      <c r="M32" s="1"/>
      <c r="N32" s="1"/>
      <c r="O32" s="1"/>
      <c r="P32" s="1"/>
      <c r="Q32" s="1"/>
      <c r="R32" s="1"/>
      <c r="S32" s="1"/>
      <c r="T32" s="1"/>
      <c r="U32" s="1"/>
    </row>
    <row r="33" spans="1:21" ht="12.75">
      <c r="A33" s="1"/>
      <c r="B33" s="1"/>
      <c r="C33" s="1"/>
      <c r="D33" s="1"/>
      <c r="E33" s="1"/>
      <c r="F33" s="1"/>
      <c r="G33" s="1"/>
      <c r="H33" s="1"/>
      <c r="I33" s="1"/>
      <c r="J33" s="1"/>
      <c r="K33" s="1"/>
      <c r="L33" s="1"/>
      <c r="M33" s="1"/>
      <c r="N33" s="1"/>
      <c r="O33" s="1"/>
      <c r="P33" s="1"/>
      <c r="Q33" s="1"/>
      <c r="R33" s="1"/>
      <c r="S33" s="1"/>
      <c r="T33" s="1"/>
      <c r="U33" s="1"/>
    </row>
    <row r="34" spans="1:21" ht="12.75">
      <c r="A34" s="1"/>
      <c r="B34" s="1"/>
      <c r="C34" s="1"/>
      <c r="D34" s="1"/>
      <c r="E34" s="1"/>
      <c r="F34" s="1"/>
      <c r="G34" s="1"/>
      <c r="H34" s="1"/>
      <c r="I34" s="1"/>
      <c r="J34" s="1"/>
      <c r="K34" s="1"/>
      <c r="L34" s="1"/>
      <c r="M34" s="1"/>
      <c r="N34" s="1"/>
      <c r="O34" s="1"/>
      <c r="P34" s="1"/>
      <c r="Q34" s="1"/>
      <c r="R34" s="1"/>
      <c r="S34" s="1"/>
      <c r="T34" s="1"/>
      <c r="U34" s="1"/>
    </row>
    <row r="35" spans="1:21" ht="12.75">
      <c r="A35" s="1"/>
      <c r="B35" s="1"/>
      <c r="C35" s="1"/>
      <c r="D35" s="1"/>
      <c r="E35" s="1"/>
      <c r="F35" s="1"/>
      <c r="G35" s="1"/>
      <c r="H35" s="1"/>
      <c r="I35" s="1"/>
      <c r="J35" s="1"/>
      <c r="K35" s="1"/>
      <c r="L35" s="1"/>
      <c r="M35" s="1"/>
      <c r="N35" s="1"/>
      <c r="O35" s="1"/>
      <c r="P35" s="1"/>
      <c r="Q35" s="1"/>
      <c r="R35" s="1"/>
      <c r="S35" s="1"/>
      <c r="T35" s="1"/>
      <c r="U35" s="1"/>
    </row>
    <row r="36" spans="1:21" ht="12.75">
      <c r="A36" s="1"/>
      <c r="B36" s="1"/>
      <c r="C36" s="1"/>
      <c r="D36" s="1"/>
      <c r="E36" s="1"/>
      <c r="F36" s="1"/>
      <c r="G36" s="1"/>
      <c r="H36" s="1"/>
      <c r="I36" s="1"/>
      <c r="J36" s="1"/>
      <c r="K36" s="1"/>
      <c r="L36" s="1"/>
      <c r="M36" s="1"/>
      <c r="N36" s="1"/>
      <c r="O36" s="1"/>
      <c r="P36" s="1"/>
      <c r="Q36" s="1"/>
      <c r="R36" s="1"/>
      <c r="S36" s="1"/>
      <c r="T36" s="1"/>
      <c r="U36" s="1"/>
    </row>
    <row r="37" spans="1:21" ht="12.75">
      <c r="A37" s="1"/>
      <c r="B37" s="1"/>
      <c r="C37" s="1"/>
      <c r="D37" s="1"/>
      <c r="E37" s="1"/>
      <c r="F37" s="1"/>
      <c r="G37" s="1"/>
      <c r="H37" s="1"/>
      <c r="I37" s="1"/>
      <c r="J37" s="1"/>
      <c r="K37" s="1"/>
      <c r="L37" s="1"/>
      <c r="M37" s="1"/>
      <c r="N37" s="1"/>
      <c r="O37" s="1"/>
      <c r="P37" s="1"/>
      <c r="Q37" s="1"/>
      <c r="R37" s="1"/>
      <c r="S37" s="1"/>
      <c r="T37" s="1"/>
      <c r="U37" s="1"/>
    </row>
    <row r="38" spans="1:21" ht="12.75">
      <c r="A38" s="1"/>
      <c r="B38" s="1"/>
      <c r="C38" s="1"/>
      <c r="D38" s="1"/>
      <c r="E38" s="1"/>
      <c r="F38" s="1"/>
      <c r="G38" s="1"/>
      <c r="H38" s="1"/>
      <c r="I38" s="1"/>
      <c r="J38" s="1"/>
      <c r="K38" s="1"/>
      <c r="L38" s="1"/>
      <c r="M38" s="1"/>
      <c r="N38" s="1"/>
      <c r="O38" s="1"/>
      <c r="P38" s="1"/>
      <c r="Q38" s="1"/>
      <c r="R38" s="1"/>
      <c r="S38" s="1"/>
      <c r="T38" s="1"/>
      <c r="U38" s="1"/>
    </row>
    <row r="39" spans="1:21" ht="12.75">
      <c r="A39" s="1"/>
      <c r="B39" s="1"/>
      <c r="C39" s="1"/>
      <c r="D39" s="1"/>
      <c r="E39" s="1"/>
      <c r="F39" s="1"/>
      <c r="G39" s="1"/>
      <c r="H39" s="1"/>
      <c r="I39" s="1"/>
      <c r="J39" s="1"/>
      <c r="K39" s="1"/>
      <c r="L39" s="1"/>
      <c r="M39" s="1"/>
      <c r="N39" s="1"/>
      <c r="O39" s="1"/>
      <c r="P39" s="1"/>
      <c r="Q39" s="1"/>
      <c r="R39" s="1"/>
      <c r="S39" s="1"/>
      <c r="T39" s="1"/>
      <c r="U39" s="1"/>
    </row>
    <row r="40" spans="1:21" ht="12.75">
      <c r="A40" s="1"/>
      <c r="B40" s="1"/>
      <c r="C40" s="1"/>
      <c r="D40" s="1"/>
      <c r="E40" s="1"/>
      <c r="F40" s="1"/>
      <c r="G40" s="1"/>
      <c r="H40" s="1"/>
      <c r="I40" s="1"/>
      <c r="J40" s="1"/>
      <c r="K40" s="1"/>
      <c r="L40" s="1"/>
      <c r="M40" s="1"/>
      <c r="N40" s="1"/>
      <c r="O40" s="1"/>
      <c r="P40" s="1"/>
      <c r="Q40" s="1"/>
      <c r="R40" s="1"/>
      <c r="S40" s="1"/>
      <c r="T40" s="1"/>
      <c r="U40" s="1"/>
    </row>
    <row r="41" spans="1:21" ht="12.75">
      <c r="A41" s="1"/>
      <c r="B41" s="1"/>
      <c r="C41" s="1"/>
      <c r="D41" s="1"/>
      <c r="E41" s="1"/>
      <c r="F41" s="1"/>
      <c r="G41" s="1"/>
      <c r="H41" s="1"/>
      <c r="I41" s="1"/>
      <c r="J41" s="1"/>
      <c r="K41" s="1"/>
      <c r="L41" s="1"/>
      <c r="M41" s="1"/>
      <c r="N41" s="1"/>
      <c r="O41" s="1"/>
      <c r="P41" s="1"/>
      <c r="Q41" s="1"/>
      <c r="R41" s="1"/>
      <c r="S41" s="1"/>
      <c r="T41" s="1"/>
      <c r="U41" s="1"/>
    </row>
    <row r="42" spans="1:21" ht="12.75">
      <c r="A42" s="1"/>
      <c r="B42" s="1"/>
      <c r="C42" s="1"/>
      <c r="D42" s="1"/>
      <c r="E42" s="1"/>
      <c r="F42" s="1"/>
      <c r="G42" s="1"/>
      <c r="H42" s="1"/>
      <c r="I42" s="1"/>
      <c r="J42" s="1"/>
      <c r="K42" s="1"/>
      <c r="L42" s="1"/>
      <c r="M42" s="1"/>
      <c r="N42" s="1"/>
      <c r="O42" s="1"/>
      <c r="P42" s="1"/>
      <c r="Q42" s="1"/>
      <c r="R42" s="1"/>
      <c r="S42" s="1"/>
      <c r="T42" s="1"/>
      <c r="U42" s="1"/>
    </row>
    <row r="43" spans="1:21" ht="12.75">
      <c r="A43" s="1"/>
      <c r="B43" s="1"/>
      <c r="C43" s="1"/>
      <c r="D43" s="1"/>
      <c r="E43" s="1"/>
      <c r="F43" s="1"/>
      <c r="G43" s="1"/>
      <c r="H43" s="1"/>
      <c r="I43" s="1"/>
      <c r="J43" s="1"/>
      <c r="K43" s="1"/>
      <c r="L43" s="1"/>
      <c r="M43" s="1"/>
      <c r="N43" s="1"/>
      <c r="O43" s="1"/>
      <c r="P43" s="1"/>
      <c r="Q43" s="1"/>
      <c r="R43" s="1"/>
      <c r="S43" s="1"/>
      <c r="T43" s="1"/>
      <c r="U43" s="1"/>
    </row>
    <row r="44" spans="1:21" ht="12.75">
      <c r="A44" s="1"/>
      <c r="B44" s="1"/>
      <c r="C44" s="1"/>
      <c r="D44" s="1"/>
      <c r="E44" s="1"/>
      <c r="F44" s="1"/>
      <c r="G44" s="1"/>
      <c r="H44" s="1"/>
      <c r="I44" s="1"/>
      <c r="J44" s="1"/>
      <c r="K44" s="1"/>
      <c r="L44" s="1"/>
      <c r="M44" s="1"/>
      <c r="N44" s="1"/>
      <c r="O44" s="1"/>
      <c r="P44" s="1"/>
      <c r="Q44" s="1"/>
      <c r="R44" s="1"/>
      <c r="S44" s="1"/>
      <c r="T44" s="1"/>
      <c r="U44" s="1"/>
    </row>
    <row r="45" spans="1:21" ht="12.75">
      <c r="A45" s="1"/>
      <c r="B45" s="1"/>
      <c r="C45" s="1"/>
      <c r="D45" s="1"/>
      <c r="E45" s="1"/>
      <c r="F45" s="1"/>
      <c r="G45" s="1"/>
      <c r="H45" s="1"/>
      <c r="I45" s="1"/>
      <c r="J45" s="1"/>
      <c r="K45" s="1"/>
      <c r="L45" s="1"/>
      <c r="M45" s="1"/>
      <c r="N45" s="1"/>
      <c r="O45" s="1"/>
      <c r="P45" s="1"/>
      <c r="Q45" s="1"/>
      <c r="R45" s="1"/>
      <c r="S45" s="1"/>
      <c r="T45" s="1"/>
      <c r="U45" s="1"/>
    </row>
    <row r="46" spans="1:21" ht="12.75">
      <c r="A46" s="1"/>
      <c r="B46" s="1"/>
      <c r="C46" s="1"/>
      <c r="D46" s="1"/>
      <c r="E46" s="1"/>
      <c r="F46" s="1"/>
      <c r="G46" s="1"/>
      <c r="H46" s="1"/>
      <c r="I46" s="1"/>
      <c r="J46" s="1"/>
      <c r="K46" s="1"/>
      <c r="L46" s="1"/>
      <c r="M46" s="1"/>
      <c r="N46" s="1"/>
      <c r="O46" s="1"/>
      <c r="P46" s="1"/>
      <c r="Q46" s="1"/>
      <c r="R46" s="1"/>
      <c r="S46" s="1"/>
      <c r="T46" s="1"/>
      <c r="U46" s="1"/>
    </row>
  </sheetData>
  <sheetProtection password="EDCB" sheet="1" objects="1" scenarios="1" selectLockedCell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9"/>
  <dimension ref="A1:Z42"/>
  <sheetViews>
    <sheetView showRowColHeaders="0" zoomScalePageLayoutView="0" workbookViewId="0" topLeftCell="A5">
      <selection activeCell="C5" sqref="C5"/>
    </sheetView>
  </sheetViews>
  <sheetFormatPr defaultColWidth="9.140625" defaultRowHeight="12.75"/>
  <cols>
    <col min="1" max="1" width="1.7109375" style="0" customWidth="1"/>
    <col min="2" max="2" width="34.57421875" style="0" customWidth="1"/>
    <col min="3" max="3" width="31.421875" style="0" customWidth="1"/>
    <col min="4" max="4" width="44.00390625" style="0" customWidth="1"/>
    <col min="5" max="5" width="32.421875" style="94" customWidth="1"/>
    <col min="6" max="9" width="9.140625" style="0" hidden="1" customWidth="1"/>
    <col min="10" max="10" width="15.57421875" style="0" hidden="1" customWidth="1"/>
    <col min="11" max="11" width="10.00390625" style="0" hidden="1" customWidth="1"/>
    <col min="12" max="16" width="9.140625" style="0" hidden="1" customWidth="1"/>
  </cols>
  <sheetData>
    <row r="1" spans="1:26" ht="15.75">
      <c r="A1" s="1"/>
      <c r="B1" s="81" t="s">
        <v>121</v>
      </c>
      <c r="C1" s="48"/>
      <c r="D1" s="268">
        <f>IF(ISBLANK(Name_scenario),"",Name_scenario)</f>
      </c>
      <c r="E1" s="268"/>
      <c r="Q1" s="1"/>
      <c r="R1" s="1"/>
      <c r="S1" s="1"/>
      <c r="T1" s="1"/>
      <c r="U1" s="1"/>
      <c r="V1" s="1"/>
      <c r="W1" s="1"/>
      <c r="X1" s="1"/>
      <c r="Y1" s="1"/>
      <c r="Z1" s="1"/>
    </row>
    <row r="2" spans="1:26" ht="12.75">
      <c r="A2" s="1"/>
      <c r="B2" s="46" t="s">
        <v>896</v>
      </c>
      <c r="C2" s="49"/>
      <c r="D2" s="49"/>
      <c r="E2" s="46" t="s">
        <v>863</v>
      </c>
      <c r="F2" s="32" t="s">
        <v>522</v>
      </c>
      <c r="G2" s="33"/>
      <c r="H2" s="33"/>
      <c r="Q2" s="1"/>
      <c r="R2" s="1"/>
      <c r="S2" s="1"/>
      <c r="T2" s="1"/>
      <c r="U2" s="1"/>
      <c r="V2" s="1"/>
      <c r="W2" s="1"/>
      <c r="X2" s="1"/>
      <c r="Y2" s="1"/>
      <c r="Z2" s="1"/>
    </row>
    <row r="3" spans="1:26" ht="12.75">
      <c r="A3" s="4"/>
      <c r="B3" s="4" t="s">
        <v>523</v>
      </c>
      <c r="C3" s="3" t="s">
        <v>524</v>
      </c>
      <c r="D3" s="3" t="s">
        <v>858</v>
      </c>
      <c r="E3" s="156" t="s">
        <v>326</v>
      </c>
      <c r="F3" s="34" t="s">
        <v>525</v>
      </c>
      <c r="G3" s="33" t="s">
        <v>302</v>
      </c>
      <c r="H3" s="33"/>
      <c r="Q3" s="1"/>
      <c r="R3" s="1"/>
      <c r="S3" s="1"/>
      <c r="T3" s="1"/>
      <c r="U3" s="1"/>
      <c r="V3" s="1"/>
      <c r="W3" s="1"/>
      <c r="X3" s="1"/>
      <c r="Y3" s="1"/>
      <c r="Z3" s="1"/>
    </row>
    <row r="4" spans="1:26" ht="13.5" thickBot="1">
      <c r="A4" s="1"/>
      <c r="B4" s="49"/>
      <c r="C4" s="49"/>
      <c r="D4" s="49"/>
      <c r="E4" s="157" t="s">
        <v>505</v>
      </c>
      <c r="F4" s="32"/>
      <c r="G4" s="33"/>
      <c r="H4" s="33"/>
      <c r="J4" s="33"/>
      <c r="K4" s="32"/>
      <c r="L4" s="32"/>
      <c r="M4" s="32"/>
      <c r="N4" s="32">
        <v>1E-06</v>
      </c>
      <c r="O4" s="35"/>
      <c r="P4" s="32"/>
      <c r="Q4" s="1"/>
      <c r="R4" s="1"/>
      <c r="S4" s="1"/>
      <c r="T4" s="1"/>
      <c r="U4" s="1"/>
      <c r="V4" s="1"/>
      <c r="W4" s="1"/>
      <c r="X4" s="1"/>
      <c r="Y4" s="1"/>
      <c r="Z4" s="1"/>
    </row>
    <row r="5" spans="1:26" ht="39" thickBot="1">
      <c r="A5" s="1"/>
      <c r="B5" s="55" t="s">
        <v>850</v>
      </c>
      <c r="C5" s="42" t="s">
        <v>822</v>
      </c>
      <c r="D5" s="50" t="str">
        <f>IF(C5=Fillmixload_ventilationa,"No good (mechanical) ventilation and no proper local exhaust ventilation",IF(C5=Fillmixload_ventilationb,"Good (mechanical) ventilation and/or proper local exhaust ventilation",""))</f>
        <v>Good (mechanical) ventilation and/or proper local exhaust ventilation</v>
      </c>
      <c r="E5" s="158"/>
      <c r="F5" s="32">
        <f>IF(C5=Fillmixload_ventilationa,Fillmixload_ventilation1,IF(C5=Fillmixload_ventilationb,Fillmixload_ventilation2,))</f>
        <v>1</v>
      </c>
      <c r="G5" s="1" t="str">
        <f>Fillmixload_ventilationa</f>
        <v>Poor ventilation</v>
      </c>
      <c r="H5" s="33"/>
      <c r="J5" s="33" t="s">
        <v>375</v>
      </c>
      <c r="K5" s="36">
        <f>Fillmixload_intercept*Fillmixload_contacttype*Fillmixload_contactfrequency*Fillmixload_ventilation*Fillmixload_physicalstate*Fillmixload_aerosol*Fillmixload_applicationrate^Fillmixload_automation</f>
        <v>8.292957307683904</v>
      </c>
      <c r="L5" s="32">
        <f>MATCH(Fillmixload_medianratehands,Digitfind,1)</f>
        <v>8</v>
      </c>
      <c r="M5" s="32" t="s">
        <v>376</v>
      </c>
      <c r="N5" s="32">
        <v>1E-05</v>
      </c>
      <c r="O5" s="37">
        <f>IF(Fillmixload_digitmedianratehands&lt;=9,ROUND(Fillmixload_medianratehands,(11-Fillmixload_digitmedianratehands-1)),IF(Fillmixload_digitmedianratehands&gt;9,ROUND(Fillmixload_medianratehands,-(Fillmixload_digitmedianratehands-10))))</f>
        <v>8.29</v>
      </c>
      <c r="P5" s="32" t="s">
        <v>404</v>
      </c>
      <c r="Q5" s="1"/>
      <c r="R5" s="1"/>
      <c r="S5" s="1"/>
      <c r="T5" s="1"/>
      <c r="U5" s="1"/>
      <c r="V5" s="1"/>
      <c r="W5" s="1"/>
      <c r="X5" s="1"/>
      <c r="Y5" s="1"/>
      <c r="Z5" s="1"/>
    </row>
    <row r="6" spans="1:26" ht="12.75">
      <c r="A6" s="1"/>
      <c r="B6" s="49"/>
      <c r="C6" s="49"/>
      <c r="D6" s="49"/>
      <c r="E6" s="158"/>
      <c r="F6" s="32"/>
      <c r="G6" s="1" t="str">
        <f>Fillmixload_ventilationb</f>
        <v>Normal or good ventilation</v>
      </c>
      <c r="H6" s="33"/>
      <c r="J6" s="33" t="s">
        <v>377</v>
      </c>
      <c r="K6" s="36"/>
      <c r="L6" s="32" t="e">
        <f>MATCH(Fillmixload_medianratebody,Digitfind,1)</f>
        <v>#N/A</v>
      </c>
      <c r="M6" s="32" t="s">
        <v>378</v>
      </c>
      <c r="N6" s="32">
        <v>0.0001</v>
      </c>
      <c r="O6" s="37" t="e">
        <f>IF(Fillmixload_digitmedianratebody&lt;=9,ROUND(Fillmixload_medianratebody,(11-Fillmixload_digitmedianratebody-1)),IF(Fillmixload_digitmedianratebody&gt;9,ROUND(Fillmixload_medianratebody,-(Fillmixload_digitmedianratebody-10))))</f>
        <v>#N/A</v>
      </c>
      <c r="P6" s="32" t="s">
        <v>405</v>
      </c>
      <c r="Q6" s="1"/>
      <c r="R6" s="1"/>
      <c r="S6" s="1"/>
      <c r="T6" s="1"/>
      <c r="U6" s="1"/>
      <c r="V6" s="1"/>
      <c r="W6" s="1"/>
      <c r="X6" s="1"/>
      <c r="Y6" s="1"/>
      <c r="Z6" s="1"/>
    </row>
    <row r="7" spans="1:26" ht="13.5" thickBot="1">
      <c r="A7" s="1"/>
      <c r="B7" s="49"/>
      <c r="C7" s="49"/>
      <c r="D7" s="49"/>
      <c r="E7" s="158"/>
      <c r="F7" s="32"/>
      <c r="G7" s="33"/>
      <c r="H7" s="33"/>
      <c r="J7" s="288" t="s">
        <v>379</v>
      </c>
      <c r="K7" s="95">
        <f>LOGINV(Fillmixload_percentile/100,LN(Fillmixload_medianratehands),LN(Fillmixload_GSD))</f>
        <v>71.99623720021674</v>
      </c>
      <c r="L7" s="32">
        <f>MATCH(Fillmixload_percentileratehands,Digitfind,1)</f>
        <v>9</v>
      </c>
      <c r="M7" s="32" t="s">
        <v>380</v>
      </c>
      <c r="N7" s="32">
        <v>0.001</v>
      </c>
      <c r="O7" s="37">
        <f>IF(Fillmixload_digitpercentileratehands&lt;=9,ROUND(Fillmixload_percentileratehands,(11-Fillmixload_digitpercentileratehands-1)),IF(Fillmixload_digitpercentileratehands&gt;9,ROUND(Fillmixload_percentileratehands,-(Fillmixload_digitpercentileratehands-10))))</f>
        <v>72</v>
      </c>
      <c r="P7" s="32" t="s">
        <v>406</v>
      </c>
      <c r="Q7" s="1"/>
      <c r="R7" s="1"/>
      <c r="S7" s="1"/>
      <c r="T7" s="1"/>
      <c r="U7" s="1"/>
      <c r="V7" s="1"/>
      <c r="W7" s="1"/>
      <c r="X7" s="1"/>
      <c r="Y7" s="1"/>
      <c r="Z7" s="1"/>
    </row>
    <row r="8" spans="1:26" ht="26.25" thickBot="1">
      <c r="A8" s="1"/>
      <c r="B8" s="55" t="s">
        <v>851</v>
      </c>
      <c r="C8" s="285" t="s">
        <v>855</v>
      </c>
      <c r="D8" s="50" t="str">
        <f>IF(C8=Fillmixload_contactfrequencya,"It happens sometimes, but on average less than once per scenario",IF(C8=Fillmixload_contactfrequencyb,"It happens on average once or more per scenario",""))</f>
        <v>It happens on average once or more per scenario</v>
      </c>
      <c r="E8" s="158"/>
      <c r="F8" s="32">
        <f>IF(C8=Fillmixload_contactfrequencya,Fillmixload_contactfrequency1,IF(C8=Fillmixload_contactfrequencyb,Fillmixload_contactfrequency2,))</f>
        <v>1</v>
      </c>
      <c r="G8" s="33" t="s">
        <v>854</v>
      </c>
      <c r="H8" s="33"/>
      <c r="J8" s="33" t="s">
        <v>422</v>
      </c>
      <c r="K8" s="95"/>
      <c r="L8" s="32" t="e">
        <f>MATCH(Fillmixload_percentileratebody,Digitfind,1)</f>
        <v>#N/A</v>
      </c>
      <c r="M8" s="32" t="s">
        <v>423</v>
      </c>
      <c r="N8" s="32">
        <v>0.01</v>
      </c>
      <c r="O8" s="37" t="e">
        <f>IF(Fillmixload_digitpercentileratebody&lt;=9,ROUND(Fillmixload_percentileratebody,(11-Fillmixload_digitpercentileratebody-1)),IF(Fillmixload_digitpercentileratebody&gt;9,ROUND(Fillmixload_percentileratebody,-(Fillmixload_digitpercentileratebody-10))))</f>
        <v>#N/A</v>
      </c>
      <c r="P8" s="32" t="s">
        <v>407</v>
      </c>
      <c r="Q8" s="1"/>
      <c r="R8" s="1"/>
      <c r="S8" s="1"/>
      <c r="T8" s="1"/>
      <c r="U8" s="1"/>
      <c r="V8" s="1"/>
      <c r="W8" s="1"/>
      <c r="X8" s="1"/>
      <c r="Y8" s="1"/>
      <c r="Z8" s="1"/>
    </row>
    <row r="9" spans="1:26" ht="13.5" thickBot="1">
      <c r="A9" s="1"/>
      <c r="B9" s="55"/>
      <c r="C9" s="51"/>
      <c r="D9" s="49"/>
      <c r="E9" s="158"/>
      <c r="F9" s="32"/>
      <c r="G9" s="33" t="s">
        <v>855</v>
      </c>
      <c r="H9" s="33"/>
      <c r="J9" s="33"/>
      <c r="K9" s="95"/>
      <c r="L9" s="32"/>
      <c r="M9" s="32"/>
      <c r="N9" s="32"/>
      <c r="O9" s="37"/>
      <c r="P9" s="32"/>
      <c r="Q9" s="1"/>
      <c r="R9" s="1"/>
      <c r="S9" s="1"/>
      <c r="T9" s="1"/>
      <c r="U9" s="1"/>
      <c r="V9" s="1"/>
      <c r="W9" s="1"/>
      <c r="X9" s="1"/>
      <c r="Y9" s="1"/>
      <c r="Z9" s="1"/>
    </row>
    <row r="10" spans="1:26" ht="26.25" thickBot="1">
      <c r="A10" s="1"/>
      <c r="B10" s="55" t="s">
        <v>852</v>
      </c>
      <c r="C10" s="52" t="s">
        <v>853</v>
      </c>
      <c r="D10" s="50" t="str">
        <f>IF(C10=Fillmixload_conttype_opa,"Touching of contaminated surfaces and/or limited deposition of dust or aerosols",IF(C10=Fillmixload_conttype_opb,"Splashes or drops fall onto the worker, part of the worker is in direct contact with the (stream of) product, or heavy deposition of dusts or aerosols",""))</f>
        <v>Touching of contaminated surfaces and/or limited deposition of dust or aerosols</v>
      </c>
      <c r="E10" s="158"/>
      <c r="F10" s="32">
        <f>IF(C10=Fillmixload_conttype_opa,Fillmixload_conttype_op1,IF(C10=Fillmixload_conttype_opb,Fillmixload_conttype_op2,))</f>
        <v>0.36</v>
      </c>
      <c r="G10" s="33" t="s">
        <v>853</v>
      </c>
      <c r="H10" s="33"/>
      <c r="J10" s="33" t="s">
        <v>424</v>
      </c>
      <c r="K10" s="95">
        <f>Fillmixload_medianratehands*Fillmixload_cumulativeduration</f>
        <v>497.57743846103426</v>
      </c>
      <c r="L10" s="32">
        <f>MATCH(Fillmixload_medianloadinghands,Digitfind,1)</f>
        <v>10</v>
      </c>
      <c r="M10" s="32" t="s">
        <v>425</v>
      </c>
      <c r="N10" s="32">
        <v>0.1</v>
      </c>
      <c r="O10" s="37">
        <f>IF(Fillmixload_digitmedianloadinghands&lt;=9,ROUND(Fillmixload_medianloadinghands,(11-Fillmixload_digitmedianloadinghands-1)),IF(Fillmixload_digitmedianloadinghands&gt;9,ROUND(Fillmixload_medianloadinghands,-(Fillmixload_digitmedianloadinghands-10))))</f>
        <v>498</v>
      </c>
      <c r="P10" s="32" t="s">
        <v>408</v>
      </c>
      <c r="Q10" s="1"/>
      <c r="R10" s="1"/>
      <c r="S10" s="1"/>
      <c r="T10" s="1"/>
      <c r="U10" s="1"/>
      <c r="V10" s="1"/>
      <c r="W10" s="1"/>
      <c r="X10" s="1"/>
      <c r="Y10" s="1"/>
      <c r="Z10" s="1"/>
    </row>
    <row r="11" spans="1:26" ht="13.5" thickBot="1">
      <c r="A11" s="1"/>
      <c r="B11" s="55"/>
      <c r="C11" s="61"/>
      <c r="D11" s="55"/>
      <c r="E11" s="158"/>
      <c r="F11" s="32"/>
      <c r="G11" s="33" t="s">
        <v>902</v>
      </c>
      <c r="H11" s="33"/>
      <c r="J11" s="33" t="s">
        <v>426</v>
      </c>
      <c r="K11" s="95"/>
      <c r="L11" s="32" t="e">
        <f>MATCH(Fillmixload_medianloadingbody,Digitfind,1)</f>
        <v>#N/A</v>
      </c>
      <c r="M11" s="32" t="s">
        <v>427</v>
      </c>
      <c r="N11" s="32">
        <v>1</v>
      </c>
      <c r="O11" s="37" t="e">
        <f>IF(Fillmixload_digitmedianloadingbody&lt;=9,ROUND(Fillmixload_medianloadingbody,(11-Fillmixload_digitmedianloadingbody-1)),IF(Fillmixload_digitmedianloadingbody&gt;9,ROUND(Fillmixload_medianloadingbody,-(Fillmixload_digitmedianloadingbody-10))))</f>
        <v>#N/A</v>
      </c>
      <c r="P11" s="32" t="s">
        <v>409</v>
      </c>
      <c r="Q11" s="1"/>
      <c r="R11" s="1"/>
      <c r="S11" s="1"/>
      <c r="T11" s="1"/>
      <c r="U11" s="1"/>
      <c r="V11" s="1"/>
      <c r="W11" s="1"/>
      <c r="X11" s="1"/>
      <c r="Y11" s="1"/>
      <c r="Z11" s="1"/>
    </row>
    <row r="12" spans="1:26" ht="13.5" thickBot="1">
      <c r="A12" s="1"/>
      <c r="B12" s="55" t="s">
        <v>864</v>
      </c>
      <c r="C12" s="52" t="s">
        <v>535</v>
      </c>
      <c r="D12" s="50" t="str">
        <f>IF(C12=Fillmixload_physicalstatea,"The product handled is a liquid",IF(C12=Fillmixload_physicalstateb,"A low or moderately dusty solid either does not produce clearly visible dust in the air, or the dust can be seen only briefly",IF(C12=Fillmixload_physicalstatec,"A highly dusty solid emits a clearly visible dustcloud that lingers in the air","")))</f>
        <v>The product handled is a liquid</v>
      </c>
      <c r="E12" s="158"/>
      <c r="F12" s="32">
        <f>IF(C12=Fillmixload_physicalstatea,Fillmixload_physicalstate1,IF(C12=Fillmixload_physicalstateb,Fillmixload_physicalstate2,IF(C12=Fillmixload_physicalstatec,Fillmixload_physicalstate3)))</f>
        <v>29.1</v>
      </c>
      <c r="G12" s="119" t="s">
        <v>535</v>
      </c>
      <c r="H12" s="33"/>
      <c r="J12" s="33" t="s">
        <v>428</v>
      </c>
      <c r="K12" s="95">
        <f>Fillmixload_percentileratehands*Fillmixload_cumulativeduration</f>
        <v>4319.774232013005</v>
      </c>
      <c r="L12" s="32">
        <f>MATCH(Fillmixload_percentileloadinghands,Digitfind,1)</f>
        <v>11</v>
      </c>
      <c r="M12" s="32" t="s">
        <v>429</v>
      </c>
      <c r="N12" s="32">
        <v>10</v>
      </c>
      <c r="O12" s="37">
        <f>IF(Fillmixload_digitpercentileloadinghands&lt;=9,ROUND(Fillmixload_percentileloadinghands,(11-Fillmixload_digitpercentileloadinghands-1)),IF(Fillmixload_digitpercentileloadinghands&gt;9,ROUND(Fillmixload_percentileloadinghands,-(Fillmixload_digitpercentileloadinghands-10))))</f>
        <v>4320</v>
      </c>
      <c r="P12" s="32" t="s">
        <v>410</v>
      </c>
      <c r="Q12" s="1"/>
      <c r="R12" s="1"/>
      <c r="S12" s="1"/>
      <c r="T12" s="1"/>
      <c r="U12" s="1"/>
      <c r="V12" s="1"/>
      <c r="W12" s="1"/>
      <c r="X12" s="1"/>
      <c r="Y12" s="1"/>
      <c r="Z12" s="1"/>
    </row>
    <row r="13" spans="1:26" ht="12.75">
      <c r="A13" s="1"/>
      <c r="B13" s="55"/>
      <c r="C13" s="61"/>
      <c r="D13" s="55"/>
      <c r="E13" s="158"/>
      <c r="F13" s="32"/>
      <c r="G13" s="119" t="s">
        <v>866</v>
      </c>
      <c r="H13" s="33"/>
      <c r="J13" s="33" t="s">
        <v>430</v>
      </c>
      <c r="K13" s="95"/>
      <c r="L13" s="32" t="e">
        <f>MATCH(Fillmixload_percentileloadingbody,Digitfind,1)</f>
        <v>#N/A</v>
      </c>
      <c r="M13" s="32" t="s">
        <v>431</v>
      </c>
      <c r="N13" s="32">
        <v>100</v>
      </c>
      <c r="O13" s="37" t="e">
        <f>IF(Fillmixload_digitpercentileloadingbody&lt;=9,ROUND(Fillmixload_percentileloadingbody,(11-Fillmixload_digitpercentileloadingbody-1)),IF(Fillmixload_digitpercentileloadingbody&gt;9,ROUND(Fillmixload_percentileloadingbody,-(Fillmixload_digitpercentileloadingbody-10))))</f>
        <v>#N/A</v>
      </c>
      <c r="P13" s="32" t="s">
        <v>411</v>
      </c>
      <c r="Q13" s="1"/>
      <c r="R13" s="1"/>
      <c r="S13" s="1"/>
      <c r="T13" s="1"/>
      <c r="U13" s="1"/>
      <c r="V13" s="1"/>
      <c r="W13" s="1"/>
      <c r="X13" s="1"/>
      <c r="Y13" s="1"/>
      <c r="Z13" s="1"/>
    </row>
    <row r="14" spans="1:26" ht="13.5" thickBot="1">
      <c r="A14" s="1"/>
      <c r="B14" s="55"/>
      <c r="C14" s="61"/>
      <c r="D14" s="55"/>
      <c r="E14" s="158"/>
      <c r="F14" s="32"/>
      <c r="G14" s="119" t="s">
        <v>867</v>
      </c>
      <c r="H14" s="33"/>
      <c r="J14" s="33"/>
      <c r="K14" s="32"/>
      <c r="L14" s="32"/>
      <c r="M14" s="32"/>
      <c r="N14" s="32">
        <v>1000</v>
      </c>
      <c r="O14" s="35"/>
      <c r="P14" s="32"/>
      <c r="Q14" s="1"/>
      <c r="R14" s="1"/>
      <c r="S14" s="1"/>
      <c r="T14" s="1"/>
      <c r="U14" s="1"/>
      <c r="V14" s="1"/>
      <c r="W14" s="1"/>
      <c r="X14" s="1"/>
      <c r="Y14" s="1"/>
      <c r="Z14" s="1"/>
    </row>
    <row r="15" spans="1:26" ht="39" thickBot="1">
      <c r="A15" s="1"/>
      <c r="B15" s="55" t="s">
        <v>865</v>
      </c>
      <c r="C15" s="52" t="s">
        <v>547</v>
      </c>
      <c r="D15" s="50" t="str">
        <f>IF(C15=Fillmixload_aerosol_opb,"Task does not lead to substantial interaction between product and air, nor to dropping of product on a hard surface",IF(C15=Fillmixload_aerosol_opa,"The product interacts with the air, is stirred vigorously, or is dropped onto a hard surface",""))</f>
        <v>Task does not lead to substantial interaction between product and air, nor to dropping of product on a hard surface</v>
      </c>
      <c r="E15" s="158"/>
      <c r="F15" s="32">
        <f>IF(C15=Fillmixload_aerosol_opa,Fillmixload_aerosol_op1,IF(C15=Fillmixload_aerosol_opb,Fillmixload_aerosol_op2,))</f>
        <v>1</v>
      </c>
      <c r="G15" s="33" t="s">
        <v>580</v>
      </c>
      <c r="H15" s="33"/>
      <c r="J15" s="33"/>
      <c r="K15" s="32"/>
      <c r="L15" s="32"/>
      <c r="M15" s="32"/>
      <c r="N15" s="32">
        <v>10000</v>
      </c>
      <c r="O15" s="35"/>
      <c r="P15" s="32"/>
      <c r="Q15" s="1"/>
      <c r="R15" s="1"/>
      <c r="S15" s="1"/>
      <c r="T15" s="1"/>
      <c r="U15" s="1"/>
      <c r="V15" s="1"/>
      <c r="W15" s="1"/>
      <c r="X15" s="1"/>
      <c r="Y15" s="1"/>
      <c r="Z15" s="1"/>
    </row>
    <row r="16" spans="1:26" ht="13.5" thickBot="1">
      <c r="A16" s="1"/>
      <c r="B16" s="55"/>
      <c r="C16" s="61"/>
      <c r="D16" s="59"/>
      <c r="E16" s="158"/>
      <c r="F16" s="32"/>
      <c r="G16" s="33" t="s">
        <v>547</v>
      </c>
      <c r="H16" s="33"/>
      <c r="J16" s="33"/>
      <c r="K16" s="32"/>
      <c r="L16" s="32"/>
      <c r="M16" s="32"/>
      <c r="N16" s="32">
        <v>100000</v>
      </c>
      <c r="O16" s="35"/>
      <c r="P16" s="32"/>
      <c r="Q16" s="1"/>
      <c r="R16" s="1"/>
      <c r="S16" s="1"/>
      <c r="T16" s="1"/>
      <c r="U16" s="1"/>
      <c r="V16" s="1"/>
      <c r="W16" s="1"/>
      <c r="X16" s="1"/>
      <c r="Y16" s="1"/>
      <c r="Z16" s="1"/>
    </row>
    <row r="17" spans="1:26" ht="51.75" thickBot="1">
      <c r="A17" s="1"/>
      <c r="B17" s="55" t="s">
        <v>869</v>
      </c>
      <c r="C17" s="52" t="s">
        <v>872</v>
      </c>
      <c r="D17" s="50" t="str">
        <f>IF(C17=Fillmixload_automationb,"The task is largely done by a machine and the interaction of the worker with either package, contaminated installation or product is limited",IF(C17=Fillmixload_automationa,"The task is largely done manually with substantial interaction between worker and package, contaminated installation or product",""))</f>
        <v>The task is largely done by a machine and the interaction of the worker with either package, contaminated installation or product is limited</v>
      </c>
      <c r="E17" s="159">
        <f>IF(C12="Liquid","","for powders: always Manual task")</f>
      </c>
      <c r="F17" s="32">
        <f>IF(C17=Fillmixload_automationa,Fillmixload_automation1,IF(C17=Fillmixload_automationb,Fillmixload_automation2,))</f>
        <v>0.19000000000000006</v>
      </c>
      <c r="G17" s="33" t="s">
        <v>871</v>
      </c>
      <c r="J17" s="33"/>
      <c r="K17" s="32"/>
      <c r="L17" s="32"/>
      <c r="M17" s="32"/>
      <c r="N17" s="32">
        <v>1000000</v>
      </c>
      <c r="O17" s="35"/>
      <c r="P17" s="32"/>
      <c r="Q17" s="1"/>
      <c r="R17" s="1"/>
      <c r="S17" s="1"/>
      <c r="T17" s="1"/>
      <c r="U17" s="1"/>
      <c r="V17" s="1"/>
      <c r="W17" s="1"/>
      <c r="X17" s="1"/>
      <c r="Y17" s="1"/>
      <c r="Z17" s="1"/>
    </row>
    <row r="18" spans="1:26" ht="12.75">
      <c r="A18" s="1"/>
      <c r="B18" s="55"/>
      <c r="C18" s="208">
        <f>IF(C12="Liquid","",IF(C17="Manual task","",fillmixload_warning_powder_automation))</f>
      </c>
      <c r="D18" s="49"/>
      <c r="E18" s="158"/>
      <c r="G18" s="33" t="s">
        <v>872</v>
      </c>
      <c r="J18" s="33"/>
      <c r="K18" s="32"/>
      <c r="L18" s="32"/>
      <c r="M18" s="32"/>
      <c r="N18" s="32"/>
      <c r="O18" s="35"/>
      <c r="P18" s="32"/>
      <c r="Q18" s="1"/>
      <c r="R18" s="1"/>
      <c r="S18" s="1"/>
      <c r="T18" s="1"/>
      <c r="U18" s="1"/>
      <c r="V18" s="1"/>
      <c r="W18" s="1"/>
      <c r="X18" s="1"/>
      <c r="Y18" s="1"/>
      <c r="Z18" s="1"/>
    </row>
    <row r="19" spans="1:26" ht="13.5" thickBot="1">
      <c r="A19" s="1"/>
      <c r="B19" s="55"/>
      <c r="C19" s="49"/>
      <c r="D19" s="49"/>
      <c r="E19" s="158"/>
      <c r="J19" s="33"/>
      <c r="K19" s="32"/>
      <c r="L19" s="32"/>
      <c r="M19" s="32"/>
      <c r="N19" s="32"/>
      <c r="O19" s="35"/>
      <c r="P19" s="32"/>
      <c r="Q19" s="1"/>
      <c r="R19" s="1"/>
      <c r="S19" s="1"/>
      <c r="T19" s="1"/>
      <c r="U19" s="1"/>
      <c r="V19" s="1"/>
      <c r="W19" s="1"/>
      <c r="X19" s="1"/>
      <c r="Y19" s="1"/>
      <c r="Z19" s="1"/>
    </row>
    <row r="20" spans="1:26" ht="51.75" thickBot="1">
      <c r="A20" s="1"/>
      <c r="B20" s="55" t="s">
        <v>499</v>
      </c>
      <c r="C20" s="52">
        <v>100</v>
      </c>
      <c r="D20" s="50" t="str">
        <f>IF(C12="Liquid","L/min","kg/min")</f>
        <v>L/min</v>
      </c>
      <c r="E20" s="310" t="s">
        <v>945</v>
      </c>
      <c r="F20">
        <f>C20</f>
        <v>100</v>
      </c>
      <c r="G20" t="s">
        <v>412</v>
      </c>
      <c r="Q20" s="1"/>
      <c r="R20" s="1"/>
      <c r="S20" s="1"/>
      <c r="T20" s="1"/>
      <c r="U20" s="1"/>
      <c r="V20" s="1"/>
      <c r="W20" s="1"/>
      <c r="X20" s="1"/>
      <c r="Y20" s="1"/>
      <c r="Z20" s="1"/>
    </row>
    <row r="21" spans="1:26" ht="26.25" customHeight="1">
      <c r="A21" s="1"/>
      <c r="B21" s="326">
        <f>IF(C$12="Liquid",IF(C20&gt;fillmixload_userate_liquid_upper,fillmixload_warning_userate_liquid_upper,IF(C20&lt;1,fillmixload_warning_userate_liquid_lower,"")),IF(C20&gt;fillmixload_userate_powder_upper,fillmixload_warning_userate_powder_upper,""))</f>
      </c>
      <c r="C21" s="327"/>
      <c r="D21" s="49"/>
      <c r="E21" s="158"/>
      <c r="Q21" s="1"/>
      <c r="R21" s="1"/>
      <c r="S21" s="1"/>
      <c r="T21" s="1"/>
      <c r="U21" s="1"/>
      <c r="V21" s="1"/>
      <c r="W21" s="1"/>
      <c r="X21" s="1"/>
      <c r="Y21" s="1"/>
      <c r="Z21" s="1"/>
    </row>
    <row r="22" spans="1:26" ht="13.5" thickBot="1">
      <c r="A22" s="1"/>
      <c r="B22" s="55"/>
      <c r="C22" s="49"/>
      <c r="D22" s="49"/>
      <c r="E22" s="174" t="s">
        <v>118</v>
      </c>
      <c r="Q22" s="1"/>
      <c r="R22" s="1"/>
      <c r="S22" s="1"/>
      <c r="T22" s="1"/>
      <c r="U22" s="1"/>
      <c r="V22" s="1"/>
      <c r="W22" s="1"/>
      <c r="X22" s="1"/>
      <c r="Y22" s="1"/>
      <c r="Z22" s="1"/>
    </row>
    <row r="23" spans="1:26" ht="26.25" thickBot="1">
      <c r="A23" s="1"/>
      <c r="B23" s="55" t="s">
        <v>526</v>
      </c>
      <c r="C23" s="287">
        <v>90</v>
      </c>
      <c r="D23" s="53" t="s">
        <v>527</v>
      </c>
      <c r="E23" s="325" t="s">
        <v>119</v>
      </c>
      <c r="F23" s="166">
        <f>C23</f>
        <v>90</v>
      </c>
      <c r="G23" t="s">
        <v>414</v>
      </c>
      <c r="Q23" s="1"/>
      <c r="R23" s="1"/>
      <c r="S23" s="1"/>
      <c r="T23" s="1"/>
      <c r="U23" s="1"/>
      <c r="V23" s="1"/>
      <c r="W23" s="1"/>
      <c r="X23" s="1"/>
      <c r="Y23" s="1"/>
      <c r="Z23" s="1"/>
    </row>
    <row r="24" spans="1:26" ht="13.5" thickBot="1">
      <c r="A24" s="1"/>
      <c r="B24" s="49"/>
      <c r="C24" s="54"/>
      <c r="D24" s="49"/>
      <c r="E24" s="325"/>
      <c r="Q24" s="1"/>
      <c r="R24" s="1"/>
      <c r="S24" s="1"/>
      <c r="T24" s="1"/>
      <c r="U24" s="1"/>
      <c r="V24" s="1"/>
      <c r="W24" s="1"/>
      <c r="X24" s="1"/>
      <c r="Y24" s="1"/>
      <c r="Z24" s="1"/>
    </row>
    <row r="25" spans="1:26" ht="13.5" thickBot="1">
      <c r="A25" s="1"/>
      <c r="B25" s="49"/>
      <c r="C25" s="10" t="s">
        <v>528</v>
      </c>
      <c r="D25" s="11" t="s">
        <v>529</v>
      </c>
      <c r="E25" s="155"/>
      <c r="Q25" s="1"/>
      <c r="R25" s="1"/>
      <c r="S25" s="1"/>
      <c r="T25" s="1"/>
      <c r="U25" s="1"/>
      <c r="V25" s="1"/>
      <c r="W25" s="1"/>
      <c r="X25" s="1"/>
      <c r="Y25" s="1"/>
      <c r="Z25" s="1"/>
    </row>
    <row r="26" spans="1:26" ht="12.75">
      <c r="A26" s="82"/>
      <c r="B26" s="82" t="s">
        <v>576</v>
      </c>
      <c r="C26" s="16">
        <f>Fillmixload_medianhandsraterounded</f>
        <v>8.29</v>
      </c>
      <c r="D26" s="16">
        <f>Fillmixload_percentilehandsraterounded</f>
        <v>72</v>
      </c>
      <c r="E26" s="160" t="s">
        <v>873</v>
      </c>
      <c r="Q26" s="1"/>
      <c r="R26" s="1"/>
      <c r="S26" s="1"/>
      <c r="T26" s="1"/>
      <c r="U26" s="1"/>
      <c r="V26" s="1"/>
      <c r="W26" s="1"/>
      <c r="X26" s="1"/>
      <c r="Y26" s="1"/>
      <c r="Z26" s="1"/>
    </row>
    <row r="27" spans="1:26" ht="13.5" thickBot="1">
      <c r="A27" s="83"/>
      <c r="B27" s="83" t="s">
        <v>577</v>
      </c>
      <c r="C27" s="323" t="s">
        <v>413</v>
      </c>
      <c r="D27" s="324"/>
      <c r="E27" s="161" t="s">
        <v>873</v>
      </c>
      <c r="H27">
        <f>EXP(0.89)*0.55</f>
        <v>1.339321308209431</v>
      </c>
      <c r="Q27" s="1"/>
      <c r="R27" s="1"/>
      <c r="S27" s="1"/>
      <c r="T27" s="1"/>
      <c r="U27" s="1"/>
      <c r="V27" s="1"/>
      <c r="W27" s="1"/>
      <c r="X27" s="1"/>
      <c r="Y27" s="1"/>
      <c r="Z27" s="1"/>
    </row>
    <row r="28" spans="1:26" ht="13.5" thickBot="1">
      <c r="A28" s="1"/>
      <c r="B28" s="49"/>
      <c r="C28" s="19"/>
      <c r="D28" s="49"/>
      <c r="E28" s="159"/>
      <c r="Q28" s="1"/>
      <c r="R28" s="1"/>
      <c r="S28" s="1"/>
      <c r="T28" s="1"/>
      <c r="U28" s="1"/>
      <c r="V28" s="1"/>
      <c r="W28" s="1"/>
      <c r="X28" s="1"/>
      <c r="Y28" s="1"/>
      <c r="Z28" s="1"/>
    </row>
    <row r="29" spans="1:26" ht="26.25" thickBot="1">
      <c r="A29" s="1"/>
      <c r="B29" s="55" t="s">
        <v>856</v>
      </c>
      <c r="C29" s="165">
        <v>60</v>
      </c>
      <c r="D29" s="53" t="s">
        <v>531</v>
      </c>
      <c r="E29" s="159" t="s">
        <v>381</v>
      </c>
      <c r="F29">
        <f>C29</f>
        <v>60</v>
      </c>
      <c r="G29" t="s">
        <v>415</v>
      </c>
      <c r="Q29" s="1"/>
      <c r="R29" s="1"/>
      <c r="S29" s="1"/>
      <c r="T29" s="1"/>
      <c r="U29" s="1"/>
      <c r="V29" s="1"/>
      <c r="W29" s="1"/>
      <c r="X29" s="1"/>
      <c r="Y29" s="1"/>
      <c r="Z29" s="1"/>
    </row>
    <row r="30" spans="1:26" ht="12.75">
      <c r="A30" s="1"/>
      <c r="B30" s="49"/>
      <c r="C30" s="208">
        <f>IF(C$12="Liquid",IF(C29&gt;fillmixload_duration_liquid_upper,fillmixload_warning_duration_liquid_upper,""),IF(C29&gt;fillmixload_duration_powder_upper,fillmixload_warning_duration_powder_upper,""))</f>
      </c>
      <c r="D30" s="49"/>
      <c r="E30" s="159"/>
      <c r="Q30" s="1"/>
      <c r="R30" s="1"/>
      <c r="S30" s="1"/>
      <c r="T30" s="1"/>
      <c r="U30" s="1"/>
      <c r="V30" s="1"/>
      <c r="W30" s="1"/>
      <c r="X30" s="1"/>
      <c r="Y30" s="1"/>
      <c r="Z30" s="1"/>
    </row>
    <row r="31" spans="1:26" ht="13.5" thickBot="1">
      <c r="A31" s="1"/>
      <c r="B31" s="49"/>
      <c r="C31" s="51"/>
      <c r="D31" s="49"/>
      <c r="E31" s="159"/>
      <c r="Q31" s="1"/>
      <c r="R31" s="1"/>
      <c r="S31" s="1"/>
      <c r="T31" s="1"/>
      <c r="U31" s="1"/>
      <c r="V31" s="1"/>
      <c r="W31" s="1"/>
      <c r="X31" s="1"/>
      <c r="Y31" s="1"/>
      <c r="Z31" s="1"/>
    </row>
    <row r="32" spans="1:26" ht="13.5" thickBot="1">
      <c r="A32" s="1"/>
      <c r="B32" s="84"/>
      <c r="C32" s="10" t="s">
        <v>528</v>
      </c>
      <c r="D32" s="11" t="s">
        <v>529</v>
      </c>
      <c r="E32" s="162"/>
      <c r="Q32" s="1"/>
      <c r="R32" s="1"/>
      <c r="S32" s="1"/>
      <c r="T32" s="1"/>
      <c r="U32" s="1"/>
      <c r="V32" s="1"/>
      <c r="W32" s="1"/>
      <c r="X32" s="1"/>
      <c r="Y32" s="1"/>
      <c r="Z32" s="1"/>
    </row>
    <row r="33" spans="1:26" ht="12.75">
      <c r="A33" s="82"/>
      <c r="B33" s="85" t="s">
        <v>566</v>
      </c>
      <c r="C33" s="15">
        <f>Fillmixload_medianhandsloadingrounded</f>
        <v>498</v>
      </c>
      <c r="D33" s="15">
        <f>Fillmixload_percentilehandsloadingrounded</f>
        <v>4320</v>
      </c>
      <c r="E33" s="160" t="s">
        <v>874</v>
      </c>
      <c r="Q33" s="1"/>
      <c r="R33" s="1"/>
      <c r="S33" s="1"/>
      <c r="T33" s="1"/>
      <c r="U33" s="1"/>
      <c r="V33" s="1"/>
      <c r="W33" s="1"/>
      <c r="X33" s="1"/>
      <c r="Y33" s="1"/>
      <c r="Z33" s="1"/>
    </row>
    <row r="34" spans="1:26" ht="13.5" thickBot="1">
      <c r="A34" s="83"/>
      <c r="B34" s="86" t="s">
        <v>532</v>
      </c>
      <c r="C34" s="323" t="s">
        <v>413</v>
      </c>
      <c r="D34" s="324"/>
      <c r="E34" s="161" t="s">
        <v>874</v>
      </c>
      <c r="Q34" s="1"/>
      <c r="R34" s="1"/>
      <c r="S34" s="1"/>
      <c r="T34" s="1"/>
      <c r="U34" s="1"/>
      <c r="V34" s="1"/>
      <c r="W34" s="1"/>
      <c r="X34" s="1"/>
      <c r="Y34" s="1"/>
      <c r="Z34" s="1"/>
    </row>
    <row r="35" spans="1:26" ht="12.75">
      <c r="A35" s="1"/>
      <c r="B35" s="261" t="s">
        <v>164</v>
      </c>
      <c r="C35" s="49"/>
      <c r="D35" s="49"/>
      <c r="E35" s="97"/>
      <c r="Q35" s="1"/>
      <c r="R35" s="1"/>
      <c r="S35" s="1"/>
      <c r="T35" s="1"/>
      <c r="U35" s="1"/>
      <c r="V35" s="1"/>
      <c r="W35" s="1"/>
      <c r="X35" s="1"/>
      <c r="Y35" s="1"/>
      <c r="Z35" s="1"/>
    </row>
    <row r="36" spans="1:26" ht="12.75">
      <c r="A36" s="1"/>
      <c r="B36" s="260"/>
      <c r="C36" s="49"/>
      <c r="D36" s="46"/>
      <c r="E36" s="97"/>
      <c r="Q36" s="1"/>
      <c r="R36" s="1"/>
      <c r="S36" s="1"/>
      <c r="T36" s="1"/>
      <c r="U36" s="1"/>
      <c r="V36" s="1"/>
      <c r="W36" s="1"/>
      <c r="X36" s="1"/>
      <c r="Y36" s="1"/>
      <c r="Z36" s="1"/>
    </row>
    <row r="37" spans="1:26" ht="12.75">
      <c r="A37" s="1"/>
      <c r="B37" s="87">
        <f>IF(C33/820&gt;12,"The median exposure loading per shift for hands is higher than what is considered reasonable. Use this result with caution!","")</f>
      </c>
      <c r="C37" s="49"/>
      <c r="D37" s="49"/>
      <c r="E37" s="97"/>
      <c r="Q37" s="1"/>
      <c r="R37" s="1"/>
      <c r="S37" s="1"/>
      <c r="T37" s="1"/>
      <c r="U37" s="1"/>
      <c r="V37" s="1"/>
      <c r="W37" s="1"/>
      <c r="X37" s="1"/>
      <c r="Y37" s="1"/>
      <c r="Z37" s="1"/>
    </row>
    <row r="38" spans="1:26" ht="12.75">
      <c r="A38" s="1"/>
      <c r="B38" s="87" t="str">
        <f>IF(C$27="only hand exposure is estimated with this model","No model for potential body exposure is available for this scenario due to lack of data",IF(C34/18720&gt;12,"The median exposure loading per shift for body is higher than what is considered reasonable. Use this result with caution!",""))</f>
        <v>No model for potential body exposure is available for this scenario due to lack of data</v>
      </c>
      <c r="C38" s="49"/>
      <c r="D38" s="49"/>
      <c r="E38" s="289" t="s">
        <v>118</v>
      </c>
      <c r="Q38" s="1"/>
      <c r="R38" s="1"/>
      <c r="S38" s="1"/>
      <c r="T38" s="1"/>
      <c r="U38" s="1"/>
      <c r="V38" s="1"/>
      <c r="W38" s="1"/>
      <c r="X38" s="1"/>
      <c r="Y38" s="1"/>
      <c r="Z38" s="1"/>
    </row>
    <row r="39" spans="1:26" ht="12.75">
      <c r="A39" s="1"/>
      <c r="B39" s="87">
        <f>IF(D33/820&gt;12,"The 'percentile distribution' exposure loading per shift for hands is higher than what is considered reasonable. Use this result with caution!","")</f>
      </c>
      <c r="C39" s="49"/>
      <c r="D39" s="49"/>
      <c r="E39" s="97"/>
      <c r="Q39" s="1"/>
      <c r="R39" s="1"/>
      <c r="S39" s="1"/>
      <c r="T39" s="1"/>
      <c r="U39" s="1"/>
      <c r="V39" s="1"/>
      <c r="W39" s="1"/>
      <c r="X39" s="1"/>
      <c r="Y39" s="1"/>
      <c r="Z39" s="1"/>
    </row>
    <row r="40" spans="1:26" ht="12.75">
      <c r="A40" s="1"/>
      <c r="B40" s="87">
        <f>IF(C$27="only hand exposure is estimated with this model","",IF(C36/18720&gt;12,"The median exposure loading per shift for body is higher than what is considered reasonable. Use this result with caution!",""))</f>
      </c>
      <c r="C40" s="49"/>
      <c r="D40" s="49"/>
      <c r="E40" s="97"/>
      <c r="Q40" s="1"/>
      <c r="R40" s="1"/>
      <c r="S40" s="1"/>
      <c r="T40" s="1"/>
      <c r="U40" s="1"/>
      <c r="V40" s="1"/>
      <c r="W40" s="1"/>
      <c r="X40" s="1"/>
      <c r="Y40" s="1"/>
      <c r="Z40" s="1"/>
    </row>
    <row r="41" spans="1:26" ht="12.75">
      <c r="A41" s="1"/>
      <c r="B41" s="49"/>
      <c r="C41" s="49"/>
      <c r="D41" s="49"/>
      <c r="E41" s="97"/>
      <c r="Q41" s="1"/>
      <c r="R41" s="1"/>
      <c r="S41" s="1"/>
      <c r="T41" s="1"/>
      <c r="U41" s="1"/>
      <c r="V41" s="1"/>
      <c r="W41" s="1"/>
      <c r="X41" s="1"/>
      <c r="Y41" s="1"/>
      <c r="Z41" s="1"/>
    </row>
    <row r="42" spans="1:26" ht="12.75">
      <c r="A42" s="1"/>
      <c r="B42" s="7"/>
      <c r="C42" s="1"/>
      <c r="D42" s="1"/>
      <c r="E42" s="97"/>
      <c r="Q42" s="1"/>
      <c r="R42" s="1"/>
      <c r="S42" s="1"/>
      <c r="T42" s="1"/>
      <c r="U42" s="1"/>
      <c r="V42" s="1"/>
      <c r="W42" s="1"/>
      <c r="X42" s="1"/>
      <c r="Y42" s="1"/>
      <c r="Z42" s="1"/>
    </row>
    <row r="45" ht="12.75"/>
    <row r="46" ht="12.75"/>
    <row r="47" ht="12.75"/>
    <row r="48" ht="12.75"/>
    <row r="49" ht="12.75"/>
    <row r="50" ht="12.75"/>
    <row r="65" ht="12.75"/>
    <row r="66" ht="12.75"/>
    <row r="67" ht="12.75"/>
  </sheetData>
  <sheetProtection password="EDCB" sheet="1" objects="1" scenarios="1" selectLockedCells="1"/>
  <mergeCells count="4">
    <mergeCell ref="C27:D27"/>
    <mergeCell ref="C34:D34"/>
    <mergeCell ref="E23:E24"/>
    <mergeCell ref="B21:C21"/>
  </mergeCells>
  <dataValidations count="9">
    <dataValidation type="decimal" allowBlank="1" showInputMessage="1" showErrorMessage="1" prompt="Give the application rate of the product for tasks such as weighing (L/min or Kg/min)" error="You can only give a value between 0 and 100&#10;" sqref="C20">
      <formula1>0</formula1>
      <formula2>500</formula2>
    </dataValidation>
    <dataValidation type="list" allowBlank="1" showInputMessage="1" showErrorMessage="1" prompt="Choose the most appropriate option from the list" error="You can only choose an option from the list" sqref="C15">
      <formula1>$G$15:$G$16</formula1>
    </dataValidation>
    <dataValidation type="list" allowBlank="1" showInputMessage="1" showErrorMessage="1" prompt="Choose the most appropriate option from the list" error="You can only choose an option from the list" sqref="C17">
      <formula1>$G$17:$G$18</formula1>
    </dataValidation>
    <dataValidation type="list" allowBlank="1" showInputMessage="1" showErrorMessage="1" prompt="Choose the most appropriate option from the list" error="You can only choose an option from the list" sqref="C12">
      <formula1>$G$12:$G$14</formula1>
    </dataValidation>
    <dataValidation type="list" allowBlank="1" showInputMessage="1" showErrorMessage="1" prompt="Choose the most appropriate option from the list" error="You can only choose an option from the list" sqref="C10">
      <formula1>$G$10:$G$11</formula1>
    </dataValidation>
    <dataValidation type="list" allowBlank="1" showInputMessage="1" showErrorMessage="1" prompt="Select the most appropriate option from the list" error="You can only select an option from the list" sqref="C8">
      <formula1>$G$8:$G$9</formula1>
    </dataValidation>
    <dataValidation type="list" allowBlank="1" showInputMessage="1" showErrorMessage="1" prompt="Select the most appropriate option from the list" error="You can only select an option from the list" sqref="C5">
      <formula1>$G$5:$G$6</formula1>
    </dataValidation>
    <dataValidation type="decimal" allowBlank="1" showErrorMessage="1" prompt="Give the cumulative duration of spraying per shift in minutes; maximum = 540 minutes" error="You can only enter a value between 0 and 540" sqref="C29">
      <formula1>0</formula1>
      <formula2>540</formula2>
    </dataValidation>
    <dataValidation type="whole" allowBlank="1" showInputMessage="1" showErrorMessage="1" prompt="Give the percentile of the outcome distribution that you want to assess" error="The value most be an integer value between 0 and 100" sqref="C23">
      <formula1>0</formula1>
      <formula2>100</formula2>
    </dataValidation>
  </dataValidations>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10"/>
  <dimension ref="A1:I67"/>
  <sheetViews>
    <sheetView showRowColHeaders="0" zoomScalePageLayoutView="0" workbookViewId="0" topLeftCell="A1">
      <selection activeCell="A1" sqref="A1"/>
    </sheetView>
  </sheetViews>
  <sheetFormatPr defaultColWidth="9.140625" defaultRowHeight="12.75"/>
  <cols>
    <col min="1" max="1" width="3.8515625" style="0" customWidth="1"/>
    <col min="2" max="2" width="20.7109375" style="0" customWidth="1"/>
    <col min="3" max="3" width="21.421875" style="0" customWidth="1"/>
    <col min="4" max="4" width="30.140625" style="0" customWidth="1"/>
    <col min="5" max="6" width="18.57421875" style="0" customWidth="1"/>
  </cols>
  <sheetData>
    <row r="1" spans="1:9" ht="12.75">
      <c r="A1" s="251"/>
      <c r="B1" s="224" t="s">
        <v>368</v>
      </c>
      <c r="C1" s="267">
        <f>IF(ISBLANK(Name_scenario),"",Name_scenario)</f>
      </c>
      <c r="D1" s="269"/>
      <c r="E1" s="225" t="s">
        <v>371</v>
      </c>
      <c r="F1" s="63"/>
      <c r="G1" s="63"/>
      <c r="H1" s="63"/>
      <c r="I1" s="63"/>
    </row>
    <row r="2" spans="1:9" ht="8.25" customHeight="1">
      <c r="A2" s="63"/>
      <c r="B2" s="226"/>
      <c r="C2" s="227"/>
      <c r="D2" s="228"/>
      <c r="E2" s="63"/>
      <c r="F2" s="63"/>
      <c r="G2" s="63"/>
      <c r="H2" s="63"/>
      <c r="I2" s="63"/>
    </row>
    <row r="3" spans="1:9" ht="12.75">
      <c r="A3" s="63"/>
      <c r="B3" s="226" t="s">
        <v>416</v>
      </c>
      <c r="C3" s="227"/>
      <c r="D3" s="229" t="str">
        <f>Fillmixload!C5</f>
        <v>Normal or good ventilation</v>
      </c>
      <c r="F3" s="63"/>
      <c r="G3" s="63"/>
      <c r="H3" s="63"/>
      <c r="I3" s="63"/>
    </row>
    <row r="4" spans="1:9" ht="28.5" customHeight="1">
      <c r="A4" s="63"/>
      <c r="B4" s="330" t="s">
        <v>417</v>
      </c>
      <c r="C4" s="331"/>
      <c r="D4" s="229" t="str">
        <f>Fillmixload!C8</f>
        <v>More than rare contact</v>
      </c>
      <c r="E4" s="63"/>
      <c r="F4" s="63"/>
      <c r="G4" s="63"/>
      <c r="H4" s="63"/>
      <c r="I4" s="63"/>
    </row>
    <row r="5" spans="1:9" ht="12.75">
      <c r="A5" s="63"/>
      <c r="B5" s="226" t="s">
        <v>418</v>
      </c>
      <c r="C5" s="227"/>
      <c r="D5" s="229" t="str">
        <f>Fillmixload!C10</f>
        <v>Light contact</v>
      </c>
      <c r="E5" s="63"/>
      <c r="F5" s="63"/>
      <c r="G5" s="63"/>
      <c r="H5" s="63"/>
      <c r="I5" s="63"/>
    </row>
    <row r="6" spans="1:9" ht="12.75">
      <c r="A6" s="63"/>
      <c r="B6" s="226" t="s">
        <v>864</v>
      </c>
      <c r="C6" s="227"/>
      <c r="D6" s="229" t="str">
        <f>Fillmixload!C12</f>
        <v>Liquid</v>
      </c>
      <c r="E6" s="63"/>
      <c r="F6" s="63"/>
      <c r="G6" s="63"/>
      <c r="H6" s="63"/>
      <c r="I6" s="63"/>
    </row>
    <row r="7" spans="1:9" ht="12.75">
      <c r="A7" s="63"/>
      <c r="B7" s="226" t="s">
        <v>420</v>
      </c>
      <c r="C7" s="227"/>
      <c r="D7" s="229" t="str">
        <f>Fillmixload!C15</f>
        <v>No</v>
      </c>
      <c r="E7" s="63"/>
      <c r="F7" s="63"/>
      <c r="G7" s="63"/>
      <c r="H7" s="63"/>
      <c r="I7" s="63"/>
    </row>
    <row r="8" spans="1:9" ht="12.75">
      <c r="A8" s="63"/>
      <c r="B8" s="226" t="s">
        <v>419</v>
      </c>
      <c r="C8" s="227"/>
      <c r="D8" s="229" t="str">
        <f>Fillmixload!C17</f>
        <v>Automated or semi-automated task</v>
      </c>
      <c r="E8" s="230">
        <f>Fillmixload!C18</f>
      </c>
      <c r="F8" s="63"/>
      <c r="G8" s="63"/>
      <c r="H8" s="63"/>
      <c r="I8" s="63"/>
    </row>
    <row r="9" spans="1:9" ht="12.75">
      <c r="A9" s="63"/>
      <c r="B9" s="226" t="s">
        <v>421</v>
      </c>
      <c r="C9" s="227"/>
      <c r="D9" s="229">
        <f>Fillmixload!C20</f>
        <v>100</v>
      </c>
      <c r="E9" s="231">
        <f>Fillmixload!B21</f>
      </c>
      <c r="F9" s="63"/>
      <c r="G9" s="63"/>
      <c r="H9" s="63"/>
      <c r="I9" s="63"/>
    </row>
    <row r="10" spans="1:9" ht="12.75">
      <c r="A10" s="63"/>
      <c r="B10" s="232" t="s">
        <v>372</v>
      </c>
      <c r="C10" s="233"/>
      <c r="D10" s="234">
        <f>Fillmixload!C29</f>
        <v>60</v>
      </c>
      <c r="E10" s="231">
        <f>Fillmixload!C30</f>
      </c>
      <c r="F10" s="63"/>
      <c r="G10" s="63"/>
      <c r="H10" s="63"/>
      <c r="I10" s="63"/>
    </row>
    <row r="11" spans="1:9" ht="12.75">
      <c r="A11" s="63"/>
      <c r="B11" s="227"/>
      <c r="C11" s="227"/>
      <c r="D11" s="235"/>
      <c r="E11" s="231"/>
      <c r="F11" s="63"/>
      <c r="G11" s="63"/>
      <c r="H11" s="63"/>
      <c r="I11" s="63"/>
    </row>
    <row r="12" spans="1:9" ht="12.75">
      <c r="A12" s="63"/>
      <c r="B12" s="236"/>
      <c r="C12" s="63"/>
      <c r="D12" s="63"/>
      <c r="E12" s="63"/>
      <c r="F12" s="63"/>
      <c r="G12" s="63"/>
      <c r="H12" s="63"/>
      <c r="I12" s="63"/>
    </row>
    <row r="13" spans="1:9" ht="12.75">
      <c r="A13" s="63"/>
      <c r="B13" s="264" t="s">
        <v>164</v>
      </c>
      <c r="C13" s="227"/>
      <c r="D13" s="265"/>
      <c r="E13" s="227"/>
      <c r="F13" s="227"/>
      <c r="G13" s="63"/>
      <c r="H13" s="63"/>
      <c r="I13" s="63"/>
    </row>
    <row r="14" spans="1:9" ht="12.75">
      <c r="A14" s="63"/>
      <c r="B14" s="263"/>
      <c r="C14" s="227"/>
      <c r="D14" s="265"/>
      <c r="E14" s="227"/>
      <c r="F14" s="227"/>
      <c r="G14" s="63"/>
      <c r="H14" s="63"/>
      <c r="I14" s="63"/>
    </row>
    <row r="15" spans="1:9" ht="12.75">
      <c r="A15" s="63"/>
      <c r="B15" s="63"/>
      <c r="C15" s="63"/>
      <c r="D15" s="63"/>
      <c r="E15" s="63"/>
      <c r="F15" s="63"/>
      <c r="G15" s="63"/>
      <c r="H15" s="63"/>
      <c r="I15" s="63"/>
    </row>
    <row r="16" spans="1:9" ht="14.25">
      <c r="A16" s="63"/>
      <c r="B16" s="237" t="s">
        <v>373</v>
      </c>
      <c r="C16" s="328" t="s">
        <v>331</v>
      </c>
      <c r="D16" s="329"/>
      <c r="E16" s="328"/>
      <c r="F16" s="329"/>
      <c r="G16" s="63"/>
      <c r="H16" s="63"/>
      <c r="I16" s="63"/>
    </row>
    <row r="17" spans="1:9" ht="25.5">
      <c r="A17" s="63"/>
      <c r="B17" s="238"/>
      <c r="C17" s="291" t="s">
        <v>631</v>
      </c>
      <c r="D17" s="290" t="s">
        <v>632</v>
      </c>
      <c r="E17" s="239" t="s">
        <v>330</v>
      </c>
      <c r="F17" s="240"/>
      <c r="G17" s="63"/>
      <c r="H17" s="63"/>
      <c r="I17" s="63"/>
    </row>
    <row r="18" spans="1:9" ht="12.75">
      <c r="A18" s="63"/>
      <c r="B18" s="241">
        <v>0.1</v>
      </c>
      <c r="C18" s="242">
        <f aca="true" t="shared" si="0" ref="C18:C28">LOGINV(B18,LN(Fillmixload_medianhandsraterounded),LN(Fillmixload_GSD))</f>
        <v>0.9548917937129717</v>
      </c>
      <c r="D18" s="169">
        <f>C18*Fillmixload_cumulativeduration</f>
        <v>57.29350762277831</v>
      </c>
      <c r="E18" s="243">
        <f>IF(D18&gt;820*12,"May be unrealistic","")</f>
      </c>
      <c r="F18" s="132"/>
      <c r="G18" s="63"/>
      <c r="H18" s="63"/>
      <c r="I18" s="63"/>
    </row>
    <row r="19" spans="1:9" ht="12.75">
      <c r="A19" s="63"/>
      <c r="B19" s="241">
        <v>0.2</v>
      </c>
      <c r="C19" s="242">
        <f t="shared" si="0"/>
        <v>2.0051939746640692</v>
      </c>
      <c r="D19" s="135">
        <f aca="true" t="shared" si="1" ref="D19:D28">C19*Fillmixload_cumulativeduration</f>
        <v>120.31163847984415</v>
      </c>
      <c r="E19" s="243">
        <f aca="true" t="shared" si="2" ref="E19:E28">IF(D19&gt;820*12,"May be unrealistic","")</f>
      </c>
      <c r="F19" s="133"/>
      <c r="G19" s="63"/>
      <c r="H19" s="63"/>
      <c r="I19" s="63"/>
    </row>
    <row r="20" spans="1:9" ht="12.75">
      <c r="A20" s="63"/>
      <c r="B20" s="241">
        <v>0.3</v>
      </c>
      <c r="C20" s="242">
        <f t="shared" si="0"/>
        <v>3.423630347744357</v>
      </c>
      <c r="D20" s="135">
        <f t="shared" si="1"/>
        <v>205.41782086466142</v>
      </c>
      <c r="E20" s="243">
        <f t="shared" si="2"/>
      </c>
      <c r="F20" s="133"/>
      <c r="G20" s="63"/>
      <c r="H20" s="63"/>
      <c r="I20" s="63"/>
    </row>
    <row r="21" spans="1:9" ht="12.75">
      <c r="A21" s="63"/>
      <c r="B21" s="241">
        <v>0.4</v>
      </c>
      <c r="C21" s="242">
        <f t="shared" si="0"/>
        <v>5.407601665653689</v>
      </c>
      <c r="D21" s="135">
        <f t="shared" si="1"/>
        <v>324.45609993922136</v>
      </c>
      <c r="E21" s="243">
        <f t="shared" si="2"/>
      </c>
      <c r="F21" s="133"/>
      <c r="G21" s="63"/>
      <c r="H21" s="63"/>
      <c r="I21" s="63"/>
    </row>
    <row r="22" spans="1:9" ht="12.75">
      <c r="A22" s="63"/>
      <c r="B22" s="244">
        <v>0.5</v>
      </c>
      <c r="C22" s="242">
        <f t="shared" si="0"/>
        <v>8.289999999999997</v>
      </c>
      <c r="D22" s="179">
        <f t="shared" si="1"/>
        <v>497.39999999999986</v>
      </c>
      <c r="E22" s="243">
        <f t="shared" si="2"/>
      </c>
      <c r="F22" s="133"/>
      <c r="G22" s="63"/>
      <c r="H22" s="63"/>
      <c r="I22" s="63"/>
    </row>
    <row r="23" spans="1:9" ht="12.75">
      <c r="A23" s="63"/>
      <c r="B23" s="241">
        <v>0.6</v>
      </c>
      <c r="C23" s="242">
        <f t="shared" si="0"/>
        <v>12.708794813142433</v>
      </c>
      <c r="D23" s="135">
        <f t="shared" si="1"/>
        <v>762.5276887885459</v>
      </c>
      <c r="E23" s="243">
        <f t="shared" si="2"/>
      </c>
      <c r="F23" s="133"/>
      <c r="G23" s="63"/>
      <c r="H23" s="63"/>
      <c r="I23" s="63"/>
    </row>
    <row r="24" spans="1:9" ht="12.75">
      <c r="A24" s="63"/>
      <c r="B24" s="241">
        <v>0.7</v>
      </c>
      <c r="C24" s="242">
        <f t="shared" si="0"/>
        <v>20.073458002052856</v>
      </c>
      <c r="D24" s="135">
        <f t="shared" si="1"/>
        <v>1204.4074801231714</v>
      </c>
      <c r="E24" s="243">
        <f t="shared" si="2"/>
      </c>
      <c r="F24" s="133"/>
      <c r="G24" s="63"/>
      <c r="H24" s="63"/>
      <c r="I24" s="63"/>
    </row>
    <row r="25" spans="1:9" ht="12.75">
      <c r="A25" s="63"/>
      <c r="B25" s="241">
        <v>0.8</v>
      </c>
      <c r="C25" s="242">
        <f t="shared" si="0"/>
        <v>34.27304334061416</v>
      </c>
      <c r="D25" s="135">
        <f t="shared" si="1"/>
        <v>2056.3826004368493</v>
      </c>
      <c r="E25" s="243">
        <f t="shared" si="2"/>
      </c>
      <c r="F25" s="133"/>
      <c r="G25" s="63"/>
      <c r="H25" s="63"/>
      <c r="I25" s="63"/>
    </row>
    <row r="26" spans="1:9" ht="12.75">
      <c r="A26" s="63"/>
      <c r="B26" s="241">
        <v>0.9</v>
      </c>
      <c r="C26" s="242">
        <f t="shared" si="0"/>
        <v>71.97056300251079</v>
      </c>
      <c r="D26" s="135">
        <f t="shared" si="1"/>
        <v>4318.233780150647</v>
      </c>
      <c r="E26" s="243">
        <f t="shared" si="2"/>
      </c>
      <c r="F26" s="133"/>
      <c r="G26" s="63"/>
      <c r="H26" s="63"/>
      <c r="I26" s="63"/>
    </row>
    <row r="27" spans="1:9" ht="12.75">
      <c r="A27" s="63"/>
      <c r="B27" s="241">
        <v>0.95</v>
      </c>
      <c r="C27" s="242">
        <f t="shared" si="0"/>
        <v>132.81131070865004</v>
      </c>
      <c r="D27" s="135">
        <f t="shared" si="1"/>
        <v>7968.678642519002</v>
      </c>
      <c r="E27" s="243">
        <f t="shared" si="2"/>
      </c>
      <c r="F27" s="133"/>
      <c r="G27" s="63"/>
      <c r="H27" s="63"/>
      <c r="I27" s="63"/>
    </row>
    <row r="28" spans="1:9" ht="12.75">
      <c r="A28" s="63"/>
      <c r="B28" s="245">
        <v>0.99</v>
      </c>
      <c r="C28" s="246">
        <f t="shared" si="0"/>
        <v>419.138154353853</v>
      </c>
      <c r="D28" s="136">
        <f t="shared" si="1"/>
        <v>25148.28926123118</v>
      </c>
      <c r="E28" s="247" t="str">
        <f t="shared" si="2"/>
        <v>May be unrealistic</v>
      </c>
      <c r="F28" s="134"/>
      <c r="G28" s="63"/>
      <c r="H28" s="63"/>
      <c r="I28" s="63"/>
    </row>
    <row r="29" spans="1:9" ht="12.75">
      <c r="A29" s="63"/>
      <c r="B29" s="248"/>
      <c r="C29" s="249"/>
      <c r="D29" s="177"/>
      <c r="E29" s="250"/>
      <c r="F29" s="177"/>
      <c r="G29" s="63"/>
      <c r="H29" s="63"/>
      <c r="I29" s="63"/>
    </row>
    <row r="30" spans="1:9" ht="12.75">
      <c r="A30" s="63"/>
      <c r="B30" s="63"/>
      <c r="C30" s="63"/>
      <c r="D30" s="63"/>
      <c r="E30" s="63"/>
      <c r="F30" s="63"/>
      <c r="G30" s="63"/>
      <c r="H30" s="63"/>
      <c r="I30" s="63"/>
    </row>
    <row r="31" spans="1:9" ht="12.75">
      <c r="A31" s="63"/>
      <c r="B31" s="63"/>
      <c r="C31" s="63"/>
      <c r="D31" s="63"/>
      <c r="E31" s="63"/>
      <c r="F31" s="63"/>
      <c r="G31" s="63"/>
      <c r="H31" s="63"/>
      <c r="I31" s="63"/>
    </row>
    <row r="32" spans="1:9" ht="12.75">
      <c r="A32" s="63"/>
      <c r="B32" s="63"/>
      <c r="C32" s="63"/>
      <c r="D32" s="63"/>
      <c r="E32" s="63"/>
      <c r="F32" s="63"/>
      <c r="G32" s="63"/>
      <c r="H32" s="63"/>
      <c r="I32" s="63"/>
    </row>
    <row r="33" spans="1:9" ht="12.75">
      <c r="A33" s="63"/>
      <c r="B33" s="63"/>
      <c r="C33" s="63"/>
      <c r="D33" s="63"/>
      <c r="E33" s="63"/>
      <c r="F33" s="63"/>
      <c r="G33" s="63"/>
      <c r="H33" s="63"/>
      <c r="I33" s="63"/>
    </row>
    <row r="34" spans="1:9" ht="12.75">
      <c r="A34" s="63"/>
      <c r="B34" s="63"/>
      <c r="C34" s="63"/>
      <c r="D34" s="63"/>
      <c r="E34" s="63"/>
      <c r="F34" s="63"/>
      <c r="G34" s="63"/>
      <c r="H34" s="63"/>
      <c r="I34" s="63"/>
    </row>
    <row r="35" spans="1:9" ht="12.75">
      <c r="A35" s="63"/>
      <c r="B35" s="63"/>
      <c r="C35" s="63"/>
      <c r="D35" s="63"/>
      <c r="E35" s="63"/>
      <c r="F35" s="63"/>
      <c r="G35" s="63"/>
      <c r="H35" s="63"/>
      <c r="I35" s="63"/>
    </row>
    <row r="36" spans="1:9" ht="12.75">
      <c r="A36" s="63"/>
      <c r="B36" s="63"/>
      <c r="C36" s="63"/>
      <c r="D36" s="63"/>
      <c r="E36" s="63"/>
      <c r="F36" s="63"/>
      <c r="G36" s="63"/>
      <c r="H36" s="63"/>
      <c r="I36" s="63"/>
    </row>
    <row r="37" spans="1:9" ht="12.75">
      <c r="A37" s="63"/>
      <c r="B37" s="63"/>
      <c r="C37" s="63"/>
      <c r="D37" s="63"/>
      <c r="E37" s="63"/>
      <c r="F37" s="63"/>
      <c r="G37" s="63"/>
      <c r="H37" s="63"/>
      <c r="I37" s="63"/>
    </row>
    <row r="38" spans="1:9" ht="12.75">
      <c r="A38" s="63"/>
      <c r="B38" s="63"/>
      <c r="C38" s="63"/>
      <c r="D38" s="63"/>
      <c r="E38" s="63"/>
      <c r="F38" s="63"/>
      <c r="G38" s="63"/>
      <c r="H38" s="63"/>
      <c r="I38" s="63"/>
    </row>
    <row r="39" spans="1:9" ht="12.75">
      <c r="A39" s="63"/>
      <c r="B39" s="63"/>
      <c r="C39" s="63"/>
      <c r="D39" s="63"/>
      <c r="E39" s="63"/>
      <c r="F39" s="63"/>
      <c r="G39" s="63"/>
      <c r="H39" s="63"/>
      <c r="I39" s="63"/>
    </row>
    <row r="40" spans="1:9" ht="12.75">
      <c r="A40" s="63"/>
      <c r="B40" s="63"/>
      <c r="C40" s="63"/>
      <c r="D40" s="63"/>
      <c r="E40" s="63"/>
      <c r="F40" s="63"/>
      <c r="G40" s="63"/>
      <c r="H40" s="63"/>
      <c r="I40" s="63"/>
    </row>
    <row r="41" spans="1:9" ht="12.75">
      <c r="A41" s="63"/>
      <c r="B41" s="63"/>
      <c r="C41" s="63"/>
      <c r="D41" s="63"/>
      <c r="E41" s="63"/>
      <c r="F41" s="63"/>
      <c r="G41" s="63"/>
      <c r="H41" s="63"/>
      <c r="I41" s="63"/>
    </row>
    <row r="42" spans="1:9" ht="12.75">
      <c r="A42" s="63"/>
      <c r="B42" s="63"/>
      <c r="C42" s="63"/>
      <c r="D42" s="63"/>
      <c r="E42" s="63"/>
      <c r="F42" s="63"/>
      <c r="G42" s="63"/>
      <c r="H42" s="63"/>
      <c r="I42" s="63"/>
    </row>
    <row r="43" spans="1:9" ht="12.75">
      <c r="A43" s="63"/>
      <c r="B43" s="63"/>
      <c r="C43" s="63"/>
      <c r="D43" s="63"/>
      <c r="E43" s="63"/>
      <c r="F43" s="63"/>
      <c r="G43" s="63"/>
      <c r="H43" s="63"/>
      <c r="I43" s="63"/>
    </row>
    <row r="44" spans="1:9" ht="12.75">
      <c r="A44" s="63"/>
      <c r="B44" s="63"/>
      <c r="C44" s="63"/>
      <c r="D44" s="63"/>
      <c r="E44" s="63"/>
      <c r="F44" s="63"/>
      <c r="G44" s="63"/>
      <c r="H44" s="63"/>
      <c r="I44" s="63"/>
    </row>
    <row r="45" spans="1:9" ht="12.75">
      <c r="A45" s="63"/>
      <c r="B45" s="63"/>
      <c r="C45" s="63"/>
      <c r="D45" s="63"/>
      <c r="E45" s="63"/>
      <c r="F45" s="63"/>
      <c r="G45" s="63"/>
      <c r="H45" s="63"/>
      <c r="I45" s="63"/>
    </row>
    <row r="46" spans="1:9" ht="12.75">
      <c r="A46" s="63"/>
      <c r="B46" s="63"/>
      <c r="C46" s="63"/>
      <c r="D46" s="63"/>
      <c r="E46" s="63"/>
      <c r="F46" s="63"/>
      <c r="G46" s="63"/>
      <c r="H46" s="63"/>
      <c r="I46" s="63"/>
    </row>
    <row r="47" spans="1:9" ht="12.75">
      <c r="A47" s="63"/>
      <c r="B47" s="63"/>
      <c r="C47" s="63"/>
      <c r="D47" s="63"/>
      <c r="E47" s="63"/>
      <c r="F47" s="63"/>
      <c r="G47" s="63"/>
      <c r="H47" s="63"/>
      <c r="I47" s="63"/>
    </row>
    <row r="48" spans="1:9" ht="12.75">
      <c r="A48" s="63"/>
      <c r="B48" s="63"/>
      <c r="C48" s="63"/>
      <c r="D48" s="63"/>
      <c r="E48" s="63"/>
      <c r="F48" s="63"/>
      <c r="G48" s="63"/>
      <c r="H48" s="63"/>
      <c r="I48" s="63"/>
    </row>
    <row r="49" spans="1:9" ht="12.75">
      <c r="A49" s="63"/>
      <c r="B49" s="63"/>
      <c r="C49" s="63"/>
      <c r="D49" s="63"/>
      <c r="E49" s="63"/>
      <c r="F49" s="63"/>
      <c r="G49" s="63"/>
      <c r="H49" s="63"/>
      <c r="I49" s="63"/>
    </row>
    <row r="50" spans="1:9" ht="12.75">
      <c r="A50" s="63"/>
      <c r="B50" s="63"/>
      <c r="C50" s="63"/>
      <c r="D50" s="63"/>
      <c r="E50" s="63"/>
      <c r="F50" s="63"/>
      <c r="G50" s="63"/>
      <c r="H50" s="63"/>
      <c r="I50" s="63"/>
    </row>
    <row r="51" spans="1:9" ht="12.75">
      <c r="A51" s="63"/>
      <c r="B51" s="63"/>
      <c r="C51" s="63"/>
      <c r="D51" s="63"/>
      <c r="E51" s="63"/>
      <c r="F51" s="63"/>
      <c r="G51" s="63"/>
      <c r="H51" s="63"/>
      <c r="I51" s="63"/>
    </row>
    <row r="52" spans="1:9" ht="12.75">
      <c r="A52" s="63"/>
      <c r="B52" s="63"/>
      <c r="C52" s="63"/>
      <c r="D52" s="63"/>
      <c r="E52" s="63"/>
      <c r="F52" s="63"/>
      <c r="G52" s="63"/>
      <c r="H52" s="63"/>
      <c r="I52" s="63"/>
    </row>
    <row r="53" spans="1:9" ht="12.75">
      <c r="A53" s="63"/>
      <c r="B53" s="63"/>
      <c r="C53" s="63"/>
      <c r="D53" s="63"/>
      <c r="E53" s="63"/>
      <c r="F53" s="63"/>
      <c r="G53" s="63"/>
      <c r="H53" s="63"/>
      <c r="I53" s="63"/>
    </row>
    <row r="54" spans="1:9" ht="12.75">
      <c r="A54" s="63"/>
      <c r="B54" s="63"/>
      <c r="C54" s="63"/>
      <c r="D54" s="63"/>
      <c r="E54" s="63"/>
      <c r="F54" s="63"/>
      <c r="G54" s="63"/>
      <c r="H54" s="63"/>
      <c r="I54" s="63"/>
    </row>
    <row r="55" spans="1:9" ht="12.75">
      <c r="A55" s="63"/>
      <c r="B55" s="63"/>
      <c r="C55" s="63"/>
      <c r="D55" s="63"/>
      <c r="E55" s="63"/>
      <c r="F55" s="63"/>
      <c r="G55" s="63"/>
      <c r="H55" s="63"/>
      <c r="I55" s="63"/>
    </row>
    <row r="56" spans="1:9" ht="12.75">
      <c r="A56" s="63"/>
      <c r="B56" s="63"/>
      <c r="C56" s="63"/>
      <c r="D56" s="63"/>
      <c r="E56" s="63"/>
      <c r="F56" s="63"/>
      <c r="G56" s="63"/>
      <c r="H56" s="63"/>
      <c r="I56" s="63"/>
    </row>
    <row r="57" spans="1:9" ht="12.75">
      <c r="A57" s="63"/>
      <c r="B57" s="63"/>
      <c r="C57" s="63"/>
      <c r="D57" s="63"/>
      <c r="E57" s="63"/>
      <c r="F57" s="63"/>
      <c r="G57" s="63"/>
      <c r="H57" s="63"/>
      <c r="I57" s="63"/>
    </row>
    <row r="58" spans="1:9" ht="12.75">
      <c r="A58" s="63"/>
      <c r="B58" s="63"/>
      <c r="C58" s="63"/>
      <c r="D58" s="63"/>
      <c r="E58" s="63"/>
      <c r="F58" s="63"/>
      <c r="G58" s="63"/>
      <c r="H58" s="63"/>
      <c r="I58" s="63"/>
    </row>
    <row r="59" spans="1:9" ht="12.75">
      <c r="A59" s="63"/>
      <c r="B59" s="63"/>
      <c r="C59" s="63"/>
      <c r="D59" s="63"/>
      <c r="E59" s="63"/>
      <c r="F59" s="63"/>
      <c r="G59" s="63"/>
      <c r="H59" s="63"/>
      <c r="I59" s="63"/>
    </row>
    <row r="60" spans="1:9" ht="12.75">
      <c r="A60" s="63"/>
      <c r="B60" s="63"/>
      <c r="C60" s="63"/>
      <c r="D60" s="63"/>
      <c r="E60" s="63"/>
      <c r="F60" s="63"/>
      <c r="G60" s="63"/>
      <c r="H60" s="63"/>
      <c r="I60" s="63"/>
    </row>
    <row r="61" spans="1:9" ht="12.75">
      <c r="A61" s="63"/>
      <c r="B61" s="63"/>
      <c r="C61" s="63"/>
      <c r="D61" s="63"/>
      <c r="E61" s="63"/>
      <c r="F61" s="63"/>
      <c r="G61" s="63"/>
      <c r="H61" s="63"/>
      <c r="I61" s="63"/>
    </row>
    <row r="62" spans="1:9" ht="12.75">
      <c r="A62" s="63"/>
      <c r="B62" s="63"/>
      <c r="C62" s="63"/>
      <c r="D62" s="63"/>
      <c r="E62" s="63"/>
      <c r="F62" s="63"/>
      <c r="G62" s="63"/>
      <c r="H62" s="63"/>
      <c r="I62" s="63"/>
    </row>
    <row r="63" spans="1:9" ht="12.75">
      <c r="A63" s="63"/>
      <c r="B63" s="63"/>
      <c r="C63" s="63"/>
      <c r="D63" s="63"/>
      <c r="E63" s="63"/>
      <c r="F63" s="63"/>
      <c r="G63" s="63"/>
      <c r="H63" s="63"/>
      <c r="I63" s="63"/>
    </row>
    <row r="64" spans="1:9" ht="12.75">
      <c r="A64" s="63"/>
      <c r="B64" s="63"/>
      <c r="C64" s="63"/>
      <c r="D64" s="63"/>
      <c r="E64" s="63"/>
      <c r="F64" s="63"/>
      <c r="G64" s="63"/>
      <c r="H64" s="63"/>
      <c r="I64" s="63"/>
    </row>
    <row r="65" spans="1:9" ht="12.75">
      <c r="A65" s="63"/>
      <c r="B65" s="63"/>
      <c r="C65" s="63"/>
      <c r="D65" s="63"/>
      <c r="E65" s="63"/>
      <c r="F65" s="63"/>
      <c r="G65" s="63"/>
      <c r="H65" s="63"/>
      <c r="I65" s="63"/>
    </row>
    <row r="66" spans="1:9" ht="12.75">
      <c r="A66" s="63"/>
      <c r="B66" s="63"/>
      <c r="C66" s="63"/>
      <c r="D66" s="63"/>
      <c r="E66" s="63"/>
      <c r="F66" s="63"/>
      <c r="G66" s="63"/>
      <c r="H66" s="63"/>
      <c r="I66" s="63"/>
    </row>
    <row r="67" spans="1:9" ht="12.75">
      <c r="A67" s="63"/>
      <c r="B67" s="63"/>
      <c r="C67" s="63"/>
      <c r="D67" s="63"/>
      <c r="E67" s="63"/>
      <c r="F67" s="63"/>
      <c r="G67" s="63"/>
      <c r="H67" s="63"/>
      <c r="I67" s="63"/>
    </row>
  </sheetData>
  <sheetProtection password="EDCB" sheet="1" objects="1" scenarios="1" selectLockedCells="1"/>
  <mergeCells count="3">
    <mergeCell ref="C16:D16"/>
    <mergeCell ref="E16:F16"/>
    <mergeCell ref="B4:C4"/>
  </mergeCells>
  <conditionalFormatting sqref="C18:C29">
    <cfRule type="cellIs" priority="1" dxfId="2" operator="greaterThan" stopIfTrue="1">
      <formula>"820*10"</formula>
    </cfRule>
  </conditionalFormatting>
  <conditionalFormatting sqref="D29">
    <cfRule type="cellIs" priority="2" dxfId="2" operator="greaterThan" stopIfTrue="1">
      <formula>820*12</formula>
    </cfRule>
  </conditionalFormatting>
  <conditionalFormatting sqref="D18:D28">
    <cfRule type="cellIs" priority="3" dxfId="0" operator="greaterThan" stopIfTrue="1">
      <formula>820*12</formula>
    </cfRule>
  </conditionalFormatting>
  <printOptions/>
  <pageMargins left="0.75" right="0.75" top="1" bottom="1" header="0.5" footer="0.5"/>
  <pageSetup horizontalDpi="600" verticalDpi="600" orientation="landscape" paperSize="9" r:id="rId2"/>
  <headerFooter alignWithMargins="0">
    <oddHeader>&amp;L&amp;D&amp;C&amp;F&amp;RPage &amp;P</oddHeader>
    <oddFooter>&amp;L&amp;A</oddFoot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Sheet11"/>
  <dimension ref="A1:T49"/>
  <sheetViews>
    <sheetView zoomScalePageLayoutView="0" workbookViewId="0" topLeftCell="A1">
      <selection activeCell="C17" sqref="C17"/>
    </sheetView>
  </sheetViews>
  <sheetFormatPr defaultColWidth="9.140625" defaultRowHeight="12.75"/>
  <cols>
    <col min="1" max="1" width="4.140625" style="0" customWidth="1"/>
    <col min="2" max="2" width="51.7109375" style="94" customWidth="1"/>
    <col min="3" max="3" width="35.140625" style="0" customWidth="1"/>
    <col min="4" max="4" width="31.00390625" style="0" customWidth="1"/>
    <col min="5" max="5" width="21.57421875" style="0" customWidth="1"/>
    <col min="6" max="8" width="9.140625" style="0" hidden="1" customWidth="1"/>
    <col min="9" max="9" width="11.421875" style="0" hidden="1" customWidth="1"/>
    <col min="10" max="10" width="23.8515625" style="0" hidden="1" customWidth="1"/>
    <col min="11" max="11" width="10.8515625" style="0" hidden="1" customWidth="1"/>
    <col min="12" max="16" width="9.140625" style="0" hidden="1" customWidth="1"/>
  </cols>
  <sheetData>
    <row r="1" spans="1:20" ht="15.75">
      <c r="A1" s="1"/>
      <c r="B1" s="332" t="s">
        <v>897</v>
      </c>
      <c r="C1" s="333"/>
      <c r="D1" s="272">
        <f>IF(ISBLANK(Name_scenario),"",Name_scenario)</f>
      </c>
      <c r="E1" s="273"/>
      <c r="Q1" s="1"/>
      <c r="R1" s="1"/>
      <c r="S1" s="1"/>
      <c r="T1" s="1"/>
    </row>
    <row r="2" spans="1:20" ht="12.75">
      <c r="A2" s="1"/>
      <c r="B2" s="338" t="s">
        <v>896</v>
      </c>
      <c r="C2" s="339"/>
      <c r="D2" s="339"/>
      <c r="E2" s="340"/>
      <c r="F2" s="32" t="s">
        <v>522</v>
      </c>
      <c r="G2" s="33"/>
      <c r="H2" s="33"/>
      <c r="Q2" s="1"/>
      <c r="R2" s="1"/>
      <c r="S2" s="1"/>
      <c r="T2" s="1"/>
    </row>
    <row r="3" spans="1:20" ht="12.75">
      <c r="A3" s="4"/>
      <c r="B3" s="96" t="s">
        <v>523</v>
      </c>
      <c r="C3" s="3" t="s">
        <v>524</v>
      </c>
      <c r="D3" s="4" t="s">
        <v>858</v>
      </c>
      <c r="E3" s="153" t="s">
        <v>326</v>
      </c>
      <c r="F3" s="34" t="s">
        <v>525</v>
      </c>
      <c r="G3" s="33" t="s">
        <v>302</v>
      </c>
      <c r="H3" s="33" t="s">
        <v>303</v>
      </c>
      <c r="Q3" s="1"/>
      <c r="R3" s="1"/>
      <c r="S3" s="1"/>
      <c r="T3" s="1"/>
    </row>
    <row r="4" spans="1:20" ht="13.5" thickBot="1">
      <c r="A4" s="1"/>
      <c r="B4" s="97"/>
      <c r="C4" s="7"/>
      <c r="D4" s="7"/>
      <c r="E4" s="154" t="s">
        <v>505</v>
      </c>
      <c r="F4" s="32"/>
      <c r="G4" s="33"/>
      <c r="H4" s="33"/>
      <c r="J4" s="33"/>
      <c r="K4" s="32"/>
      <c r="L4" s="32"/>
      <c r="M4" s="32"/>
      <c r="N4" s="32">
        <v>1E-06</v>
      </c>
      <c r="O4" s="35"/>
      <c r="P4" s="32"/>
      <c r="Q4" s="1"/>
      <c r="R4" s="1"/>
      <c r="S4" s="1"/>
      <c r="T4" s="1"/>
    </row>
    <row r="5" spans="1:20" ht="31.5" customHeight="1" thickBot="1">
      <c r="A5" s="1"/>
      <c r="B5" s="43" t="s">
        <v>579</v>
      </c>
      <c r="C5" s="40" t="s">
        <v>580</v>
      </c>
      <c r="D5" s="43" t="s">
        <v>861</v>
      </c>
      <c r="E5" s="146"/>
      <c r="F5" s="32">
        <f>IF(C5=Wiping_extensivebodycontacta,Wiping_extensivebodycontact1,IF(C5=Wiping_extensivebodycontactb,Wiping_extensivebodycontact2,))</f>
        <v>32.2</v>
      </c>
      <c r="G5" s="33" t="str">
        <f>Wiping_extensivebodycontacta</f>
        <v>Yes</v>
      </c>
      <c r="H5" s="33" t="s">
        <v>304</v>
      </c>
      <c r="J5" s="33" t="s">
        <v>292</v>
      </c>
      <c r="K5" s="36">
        <f>Wiping_intercept*Wiping_handseffect*Wiping_applicationrate^paranew!Wiping_lnapplicationrate</f>
        <v>815</v>
      </c>
      <c r="L5" s="32">
        <f>MATCH(Wiping_medianratehands,Digitfind,1)</f>
        <v>10</v>
      </c>
      <c r="M5" s="32" t="s">
        <v>318</v>
      </c>
      <c r="N5" s="32">
        <v>1E-05</v>
      </c>
      <c r="O5" s="37">
        <f>IF(Wiping_digitmedianratehands&lt;=9,ROUND(Wiping_medianratehands,(11-Wiping_digitmedianratehands-1)),IF(Wiping_digitmedianratehands&gt;9,ROUND(Wiping_medianratehands,-(Wiping_digitmedianratehands-10))))</f>
        <v>815</v>
      </c>
      <c r="P5" s="32" t="s">
        <v>310</v>
      </c>
      <c r="Q5" s="1"/>
      <c r="R5" s="1"/>
      <c r="S5" s="1"/>
      <c r="T5" s="1"/>
    </row>
    <row r="6" spans="1:20" ht="12.75">
      <c r="A6" s="1"/>
      <c r="B6" s="97"/>
      <c r="C6" s="18"/>
      <c r="D6" s="43"/>
      <c r="E6" s="146"/>
      <c r="F6" s="32">
        <f>Wiping_bodyeffect</f>
        <v>0.082</v>
      </c>
      <c r="G6" s="33" t="str">
        <f>Wiping_extensivebodycontactb</f>
        <v>No</v>
      </c>
      <c r="H6" s="33" t="s">
        <v>715</v>
      </c>
      <c r="I6" t="s">
        <v>289</v>
      </c>
      <c r="J6" s="33" t="s">
        <v>293</v>
      </c>
      <c r="K6" s="36">
        <f>Wiping_intercept*Wiping_bodyeffect*Wiping_extensivebodycontact*Wiping_applicationrate^paranew!Wiping_lnapplicationrate</f>
        <v>2151.926</v>
      </c>
      <c r="L6" s="32">
        <f>MATCH(Wiping_medianratebody,Digitfind,1)</f>
        <v>11</v>
      </c>
      <c r="M6" s="32" t="s">
        <v>319</v>
      </c>
      <c r="N6" s="32">
        <v>0.0001</v>
      </c>
      <c r="O6" s="37">
        <f>IF(Wiping_digitmedianratebody&lt;=9,ROUND(Wiping_medianratebody,(11-Wiping_digitmedianratebody-1)),IF(Wiping_digitmedianratebody&gt;9,ROUND(Wiping_medianratebody,-(Wiping_digitmedianratebody-10))))</f>
        <v>2150</v>
      </c>
      <c r="P6" s="32" t="s">
        <v>311</v>
      </c>
      <c r="Q6" s="1"/>
      <c r="R6" s="1"/>
      <c r="S6" s="1"/>
      <c r="T6" s="1"/>
    </row>
    <row r="7" spans="1:20" ht="13.5" thickBot="1">
      <c r="A7" s="1"/>
      <c r="B7" s="97"/>
      <c r="C7" s="7"/>
      <c r="D7" s="7"/>
      <c r="E7" s="146"/>
      <c r="F7" s="32"/>
      <c r="G7" s="33"/>
      <c r="H7" s="33"/>
      <c r="J7" s="33" t="s">
        <v>294</v>
      </c>
      <c r="K7" s="95">
        <f>LOGINV(Wiping_percentile/100,LN(Wiping_medianratehands),LN(Wiping_GSDhands))</f>
        <v>4058.904776707071</v>
      </c>
      <c r="L7" s="32">
        <f>MATCH(Wiping_percentileratehands,Digitfind,1)</f>
        <v>11</v>
      </c>
      <c r="M7" s="32" t="s">
        <v>320</v>
      </c>
      <c r="N7" s="32">
        <v>0.001</v>
      </c>
      <c r="O7" s="37">
        <f>IF(Wiping_digitpercentileratehands&lt;=9,ROUND(Wiping_percentileratehands,(11-Wiping_digitpercentileratehands-1)),IF(Wiping_digitpercentileratehands&gt;9,ROUND(Wiping_percentileratehands,-(Wiping_digitpercentileratehands-10))))</f>
        <v>4060</v>
      </c>
      <c r="P7" s="32" t="s">
        <v>312</v>
      </c>
      <c r="Q7" s="1"/>
      <c r="R7" s="1"/>
      <c r="S7" s="1"/>
      <c r="T7" s="1"/>
    </row>
    <row r="8" spans="1:20" ht="13.5" thickBot="1">
      <c r="A8" s="1"/>
      <c r="B8" s="97" t="s">
        <v>564</v>
      </c>
      <c r="C8" s="31">
        <v>1</v>
      </c>
      <c r="D8" s="7" t="s">
        <v>575</v>
      </c>
      <c r="E8" s="146" t="s">
        <v>327</v>
      </c>
      <c r="F8" s="32">
        <f>C8</f>
        <v>1</v>
      </c>
      <c r="G8" s="33"/>
      <c r="H8" s="33" t="s">
        <v>305</v>
      </c>
      <c r="J8" s="33" t="s">
        <v>295</v>
      </c>
      <c r="K8" s="95">
        <f>LOGINV(Wiping_percentile/100,LN(Wiping_medianratebody),LN(Wiping_GSDbody))</f>
        <v>20473.857354818876</v>
      </c>
      <c r="L8" s="32">
        <f>MATCH(Wiping_percentileratebody,Digitfind,1)</f>
        <v>12</v>
      </c>
      <c r="M8" s="32" t="s">
        <v>321</v>
      </c>
      <c r="N8" s="32">
        <v>0.01</v>
      </c>
      <c r="O8" s="37">
        <f>IF(Wiping_digitpercentileratebody&lt;=9,ROUND(Wiping_percentileratebody,(11-Wiping_digitpercentileratebody-1)),IF(Wiping_digitpercentileratebody&gt;9,ROUND(Wiping_percentileratebody,-(Wiping_digitpercentileratebody-10))))</f>
        <v>20500</v>
      </c>
      <c r="P8" s="32" t="s">
        <v>313</v>
      </c>
      <c r="Q8" s="1"/>
      <c r="R8" s="1"/>
      <c r="S8" s="1"/>
      <c r="T8" s="1"/>
    </row>
    <row r="9" spans="1:20" ht="12.75">
      <c r="A9" s="1"/>
      <c r="B9" s="97"/>
      <c r="C9" s="208">
        <f>IF(Wiping_applicationrate&gt;1.18,"Model was based on values up to 1,18 L/min!","")</f>
      </c>
      <c r="D9" s="7"/>
      <c r="E9" s="148" t="s">
        <v>501</v>
      </c>
      <c r="F9" s="32"/>
      <c r="G9" s="33"/>
      <c r="H9" s="33"/>
      <c r="J9" s="33"/>
      <c r="K9" s="95"/>
      <c r="L9" s="32"/>
      <c r="M9" s="32"/>
      <c r="N9" s="32"/>
      <c r="O9" s="37"/>
      <c r="P9" s="32"/>
      <c r="Q9" s="1"/>
      <c r="R9" s="1"/>
      <c r="S9" s="1"/>
      <c r="T9" s="1"/>
    </row>
    <row r="10" spans="1:20" ht="13.5" thickBot="1">
      <c r="A10" s="1"/>
      <c r="B10" s="97"/>
      <c r="C10" s="18"/>
      <c r="D10" s="7"/>
      <c r="E10" s="149" t="s">
        <v>502</v>
      </c>
      <c r="F10" s="32">
        <f>LN(F8)</f>
        <v>0</v>
      </c>
      <c r="G10" s="33"/>
      <c r="H10" s="33" t="s">
        <v>306</v>
      </c>
      <c r="J10" s="33" t="s">
        <v>296</v>
      </c>
      <c r="K10" s="95">
        <f>Wiping_medianratehands*Wiping_cumulativeduration</f>
        <v>391200</v>
      </c>
      <c r="L10" s="32">
        <f>MATCH(Wiping_medianloadinghands,Digitfind,1)</f>
        <v>13</v>
      </c>
      <c r="M10" s="32" t="s">
        <v>322</v>
      </c>
      <c r="N10" s="32">
        <v>0.1</v>
      </c>
      <c r="O10" s="37">
        <f>IF(Wiping_digitmedianloadinghands&lt;=9,ROUND(Wiping_medianloadinghands,(11-Wiping_digitmedianloadinghands-1)),IF(Wiping_digitmedianloadinghands&gt;9,ROUND(Wiping_medianloadinghands,-(Wiping_digitmedianloadinghands-10))))</f>
        <v>391000</v>
      </c>
      <c r="P10" s="32" t="s">
        <v>314</v>
      </c>
      <c r="Q10" s="1"/>
      <c r="R10" s="1"/>
      <c r="S10" s="1"/>
      <c r="T10" s="1"/>
    </row>
    <row r="11" spans="1:20" ht="26.25" thickBot="1">
      <c r="A11" s="1"/>
      <c r="B11" s="97" t="s">
        <v>526</v>
      </c>
      <c r="C11" s="292">
        <v>90</v>
      </c>
      <c r="D11" s="7" t="s">
        <v>527</v>
      </c>
      <c r="E11" s="149" t="s">
        <v>503</v>
      </c>
      <c r="F11" s="32"/>
      <c r="G11" s="33"/>
      <c r="H11" s="33"/>
      <c r="J11" s="33" t="s">
        <v>297</v>
      </c>
      <c r="K11" s="95">
        <f>Wiping_medianratebody*Wiping_cumulativeduration</f>
        <v>1032924.48</v>
      </c>
      <c r="L11" s="32">
        <f>MATCH(Wiping_medianloadingbody,Digitfind,1)</f>
        <v>14</v>
      </c>
      <c r="M11" s="32" t="s">
        <v>323</v>
      </c>
      <c r="N11" s="32">
        <v>1</v>
      </c>
      <c r="O11" s="37">
        <f>IF(Wiping_digitmedianloadingbody&lt;=9,ROUND(Wiping_medianloadingbody,(11-Wiping_digitmedianloadingbody-1)),IF(Wiping_digitmedianloadingbody&gt;9,ROUND(Wiping_medianloadingbody,-(Wiping_digitmedianloadingbody-10))))</f>
        <v>1030000</v>
      </c>
      <c r="P11" s="32" t="s">
        <v>315</v>
      </c>
      <c r="Q11" s="1"/>
      <c r="R11" s="1"/>
      <c r="S11" s="1"/>
      <c r="T11" s="1"/>
    </row>
    <row r="12" spans="1:20" ht="13.5" thickBot="1">
      <c r="A12" s="1"/>
      <c r="B12" s="97"/>
      <c r="C12" s="9"/>
      <c r="D12" s="7"/>
      <c r="E12" s="150" t="s">
        <v>504</v>
      </c>
      <c r="F12" s="32"/>
      <c r="G12" s="33"/>
      <c r="H12" s="33"/>
      <c r="J12" s="33" t="s">
        <v>298</v>
      </c>
      <c r="K12" s="95">
        <f>Wiping_percentileratehands*Wiping_cumulativeduration</f>
        <v>1948274.292819394</v>
      </c>
      <c r="L12" s="32">
        <f>MATCH(Wiping_percentileloadinghands,Digitfind,1)</f>
        <v>14</v>
      </c>
      <c r="M12" s="32" t="s">
        <v>324</v>
      </c>
      <c r="N12" s="32">
        <v>10</v>
      </c>
      <c r="O12" s="37">
        <f>IF(Wiping_digitpercentileloadinghands&lt;=9,ROUND(Wiping_percentileloadinghands,(11-Wiping_digitpercentileloadinghands-1)),IF(Wiping_digitpercentileloadinghands&gt;9,ROUND(Wiping_percentileloadinghands,-(Wiping_digitpercentileloadinghands-10))))</f>
        <v>1950000</v>
      </c>
      <c r="P12" s="32" t="s">
        <v>316</v>
      </c>
      <c r="Q12" s="1"/>
      <c r="R12" s="1"/>
      <c r="S12" s="1"/>
      <c r="T12" s="1"/>
    </row>
    <row r="13" spans="1:20" ht="13.5" thickBot="1">
      <c r="A13" s="1"/>
      <c r="B13" s="97"/>
      <c r="C13" s="10" t="s">
        <v>528</v>
      </c>
      <c r="D13" s="11" t="s">
        <v>529</v>
      </c>
      <c r="E13" s="151"/>
      <c r="F13" s="32"/>
      <c r="G13" s="33"/>
      <c r="H13" s="33"/>
      <c r="J13" s="33" t="s">
        <v>299</v>
      </c>
      <c r="K13" s="95">
        <f>Wiping_percentileratebody*Wiping_cumulativeduration</f>
        <v>9827451.53031306</v>
      </c>
      <c r="L13" s="32">
        <f>MATCH(Wiping_percentileloadingbody,Digitfind,1)</f>
        <v>14</v>
      </c>
      <c r="M13" s="32" t="s">
        <v>325</v>
      </c>
      <c r="N13" s="32">
        <v>100</v>
      </c>
      <c r="O13" s="37">
        <f>IF(Wiping_digitpercentileloadingbody&lt;=9,ROUND(Wiping_percentileloadingbody,(11-Wiping_digitpercentileloadingbody-1)),IF(Wiping_digitpercentileloadingbody&gt;9,ROUND(Wiping_percentileloadingbody,-(Wiping_digitpercentileloadingbody-10))))</f>
        <v>9830000</v>
      </c>
      <c r="P13" s="32" t="s">
        <v>317</v>
      </c>
      <c r="Q13" s="1"/>
      <c r="R13" s="1"/>
      <c r="S13" s="1"/>
      <c r="T13" s="1"/>
    </row>
    <row r="14" spans="1:20" ht="12.75">
      <c r="A14" s="82"/>
      <c r="B14" s="98" t="s">
        <v>576</v>
      </c>
      <c r="C14" s="16">
        <f>Wiping_medianhandsraterounded</f>
        <v>815</v>
      </c>
      <c r="D14" s="16">
        <f>Wiping_percentilehandsraterounded</f>
        <v>4060</v>
      </c>
      <c r="E14" s="24" t="s">
        <v>538</v>
      </c>
      <c r="F14" s="32">
        <f>Wiping_intercept</f>
        <v>815</v>
      </c>
      <c r="G14" s="33"/>
      <c r="H14" s="33" t="s">
        <v>307</v>
      </c>
      <c r="J14" s="33"/>
      <c r="K14" s="32"/>
      <c r="L14" s="32"/>
      <c r="M14" s="32"/>
      <c r="N14" s="32">
        <v>1000</v>
      </c>
      <c r="O14" s="35"/>
      <c r="P14" s="32"/>
      <c r="Q14" s="1"/>
      <c r="R14" s="1"/>
      <c r="S14" s="1"/>
      <c r="T14" s="1"/>
    </row>
    <row r="15" spans="1:20" ht="13.5" thickBot="1">
      <c r="A15" s="83"/>
      <c r="B15" s="99" t="s">
        <v>577</v>
      </c>
      <c r="C15" s="17">
        <f>Wiping_medianbodyraterounded</f>
        <v>2150</v>
      </c>
      <c r="D15" s="17">
        <f>Wiping_percentilebodyraterounded</f>
        <v>20500</v>
      </c>
      <c r="E15" s="26" t="s">
        <v>538</v>
      </c>
      <c r="F15" s="32"/>
      <c r="G15" s="33"/>
      <c r="H15" s="33"/>
      <c r="J15" s="33"/>
      <c r="K15" s="32"/>
      <c r="L15" s="32"/>
      <c r="M15" s="32"/>
      <c r="N15" s="32">
        <v>10000</v>
      </c>
      <c r="O15" s="35"/>
      <c r="P15" s="32"/>
      <c r="Q15" s="1"/>
      <c r="R15" s="1"/>
      <c r="S15" s="1"/>
      <c r="T15" s="1"/>
    </row>
    <row r="16" spans="1:20" ht="13.5" thickBot="1">
      <c r="A16" s="1"/>
      <c r="B16" s="97"/>
      <c r="C16" s="7"/>
      <c r="D16" s="7"/>
      <c r="E16" s="146"/>
      <c r="F16" s="32">
        <f>Wiping_GSDhands</f>
        <v>3.5</v>
      </c>
      <c r="G16" s="33"/>
      <c r="H16" s="33" t="s">
        <v>308</v>
      </c>
      <c r="J16" s="33"/>
      <c r="K16" s="32"/>
      <c r="L16" s="32"/>
      <c r="M16" s="32"/>
      <c r="N16" s="32">
        <v>100000</v>
      </c>
      <c r="O16" s="35"/>
      <c r="P16" s="32"/>
      <c r="Q16" s="1"/>
      <c r="R16" s="1"/>
      <c r="S16" s="1"/>
      <c r="T16" s="1"/>
    </row>
    <row r="17" spans="1:20" ht="18.75" customHeight="1" thickBot="1">
      <c r="A17" s="1"/>
      <c r="B17" s="97" t="s">
        <v>856</v>
      </c>
      <c r="C17" s="293">
        <v>480</v>
      </c>
      <c r="D17" s="7" t="s">
        <v>531</v>
      </c>
      <c r="E17" s="152" t="s">
        <v>328</v>
      </c>
      <c r="F17">
        <f>Wiping_GSDbody</f>
        <v>5.8</v>
      </c>
      <c r="H17" t="s">
        <v>309</v>
      </c>
      <c r="J17" s="33"/>
      <c r="K17" s="32"/>
      <c r="L17" s="32"/>
      <c r="M17" s="32"/>
      <c r="N17" s="32">
        <v>1000000</v>
      </c>
      <c r="O17" s="35"/>
      <c r="P17" s="32"/>
      <c r="Q17" s="1"/>
      <c r="R17" s="1"/>
      <c r="S17" s="1"/>
      <c r="T17" s="1"/>
    </row>
    <row r="18" spans="1:20" ht="12.75">
      <c r="A18" s="1"/>
      <c r="B18" s="97"/>
      <c r="C18" s="107" t="str">
        <f>IF(Wiping_cumulativeduration&gt;35,"Model was based on values up to 35 minutes!","")</f>
        <v>Model was based on values up to 35 minutes!</v>
      </c>
      <c r="D18" s="7"/>
      <c r="E18" s="146"/>
      <c r="J18" s="33"/>
      <c r="K18" s="32"/>
      <c r="L18" s="32"/>
      <c r="M18" s="32"/>
      <c r="N18" s="32"/>
      <c r="O18" s="35"/>
      <c r="P18" s="32"/>
      <c r="Q18" s="1"/>
      <c r="R18" s="1"/>
      <c r="S18" s="1"/>
      <c r="T18" s="1"/>
    </row>
    <row r="19" spans="1:20" ht="13.5" thickBot="1">
      <c r="A19" s="1"/>
      <c r="B19" s="97"/>
      <c r="C19" s="104"/>
      <c r="D19" s="7"/>
      <c r="E19" s="146"/>
      <c r="Q19" s="1"/>
      <c r="R19" s="1"/>
      <c r="S19" s="1"/>
      <c r="T19" s="1"/>
    </row>
    <row r="20" spans="1:20" ht="13.5" thickBot="1">
      <c r="A20" s="1"/>
      <c r="B20" s="100"/>
      <c r="C20" s="10" t="s">
        <v>528</v>
      </c>
      <c r="D20" s="11" t="s">
        <v>529</v>
      </c>
      <c r="E20" s="151"/>
      <c r="Q20" s="1"/>
      <c r="R20" s="1"/>
      <c r="S20" s="1"/>
      <c r="T20" s="1"/>
    </row>
    <row r="21" spans="1:20" ht="12.75">
      <c r="A21" s="82"/>
      <c r="B21" s="101" t="s">
        <v>566</v>
      </c>
      <c r="C21" s="16">
        <f>Wiping_medianhandsloadingrounded</f>
        <v>391000</v>
      </c>
      <c r="D21" s="16">
        <f>Wiping_percentilehandsloadingrounded</f>
        <v>1950000</v>
      </c>
      <c r="E21" s="24" t="s">
        <v>538</v>
      </c>
      <c r="Q21" s="1"/>
      <c r="R21" s="1"/>
      <c r="S21" s="1"/>
      <c r="T21" s="1"/>
    </row>
    <row r="22" spans="1:20" ht="13.5" thickBot="1">
      <c r="A22" s="83"/>
      <c r="B22" s="102" t="s">
        <v>532</v>
      </c>
      <c r="C22" s="17">
        <f>Wiping_medianbodyloadingrounded</f>
        <v>1030000</v>
      </c>
      <c r="D22" s="17">
        <f>Wiping_percentilebodyloadingrounded</f>
        <v>9830000</v>
      </c>
      <c r="E22" s="26" t="s">
        <v>538</v>
      </c>
      <c r="Q22" s="1"/>
      <c r="R22" s="1"/>
      <c r="S22" s="1"/>
      <c r="T22" s="1"/>
    </row>
    <row r="23" spans="1:20" ht="12.75">
      <c r="A23" s="1"/>
      <c r="B23" s="173" t="s">
        <v>165</v>
      </c>
      <c r="C23" s="7"/>
      <c r="D23" s="7"/>
      <c r="E23" s="8"/>
      <c r="Q23" s="1"/>
      <c r="R23" s="1"/>
      <c r="S23" s="1"/>
      <c r="T23" s="1"/>
    </row>
    <row r="24" spans="1:20" ht="12.75">
      <c r="A24" s="1"/>
      <c r="B24" s="336" t="str">
        <f>IF(C21/820&gt;12,"The median exposure loading per shift for hands is higher than what is considered reasonable. Use this result with caution!","")</f>
        <v>The median exposure loading per shift for hands is higher than what is considered reasonable. Use this result with caution!</v>
      </c>
      <c r="C24" s="337"/>
      <c r="D24" s="337"/>
      <c r="E24" s="8"/>
      <c r="Q24" s="1"/>
      <c r="R24" s="1"/>
      <c r="S24" s="1"/>
      <c r="T24" s="1"/>
    </row>
    <row r="25" spans="1:20" ht="38.25">
      <c r="A25" s="1"/>
      <c r="B25" s="103" t="str">
        <f>IF(C22/18720&gt;12,"The median exposure loading per shift for body is higher than what is considered reasonable. Use this result with caution!","")</f>
        <v>The median exposure loading per shift for body is higher than what is considered reasonable. Use this result with caution!</v>
      </c>
      <c r="C25" s="7"/>
      <c r="D25" s="7"/>
      <c r="E25" s="8"/>
      <c r="Q25" s="1"/>
      <c r="R25" s="1"/>
      <c r="S25" s="1"/>
      <c r="T25" s="1"/>
    </row>
    <row r="26" spans="1:20" ht="12.75">
      <c r="A26" s="1"/>
      <c r="B26" s="336" t="str">
        <f>IF(D21/820&gt;12,"The 'percentile distribution' exposure loading per shift for hands is higher than what is considered reasonable. Use this result with caution!","")</f>
        <v>The 'percentile distribution' exposure loading per shift for hands is higher than what is considered reasonable. Use this result with caution!</v>
      </c>
      <c r="C26" s="337"/>
      <c r="D26" s="337"/>
      <c r="E26" s="341"/>
      <c r="Q26" s="1"/>
      <c r="R26" s="1"/>
      <c r="S26" s="1"/>
      <c r="T26" s="1"/>
    </row>
    <row r="27" spans="1:20" ht="51">
      <c r="A27" s="1"/>
      <c r="B27" s="103" t="str">
        <f>IF(D22/18720&gt;12,"The 'percentile distribution' exposure loading per shift for body is higher than what is considered reasonable. Use this result with caution!","")</f>
        <v>The 'percentile distribution' exposure loading per shift for body is higher than what is considered reasonable. Use this result with caution!</v>
      </c>
      <c r="C27" s="7"/>
      <c r="D27" s="7"/>
      <c r="E27" s="8"/>
      <c r="Q27" s="1"/>
      <c r="R27" s="1"/>
      <c r="S27" s="1"/>
      <c r="T27" s="1"/>
    </row>
    <row r="28" spans="1:20" ht="12.75">
      <c r="A28" s="109">
        <f>IF(LN(Wiping_applicationrate)/Wiping_cumulativeduration&gt;0.0233,"X","")</f>
      </c>
      <c r="B28" s="334" t="str">
        <f>IF(Wiping_cumulativeduration&gt;10,IF(Wiping_applicationrate&gt;(-0.4*LN(Wiping_cumulativeduration)+1.42),"Application rate higher than found in the data set for this duration",""),"")</f>
        <v>Application rate higher than found in the data set for this duration</v>
      </c>
      <c r="C28" s="335"/>
      <c r="D28" s="335"/>
      <c r="E28" s="8"/>
      <c r="Q28" s="1"/>
      <c r="R28" s="1"/>
      <c r="S28" s="1"/>
      <c r="T28" s="1"/>
    </row>
    <row r="29" spans="1:20" ht="12.75">
      <c r="A29" s="1"/>
      <c r="B29" s="147"/>
      <c r="C29" s="1"/>
      <c r="D29" s="1"/>
      <c r="E29" s="1"/>
      <c r="Q29" s="1"/>
      <c r="R29" s="1"/>
      <c r="S29" s="1"/>
      <c r="T29" s="1"/>
    </row>
    <row r="30" spans="1:20" ht="12.75">
      <c r="A30" s="1"/>
      <c r="B30" s="116"/>
      <c r="C30" s="1"/>
      <c r="D30" s="1"/>
      <c r="E30" s="1"/>
      <c r="Q30" s="1"/>
      <c r="R30" s="1"/>
      <c r="S30" s="1"/>
      <c r="T30" s="1"/>
    </row>
    <row r="31" spans="1:20" ht="12.75">
      <c r="A31" s="1"/>
      <c r="B31" s="116"/>
      <c r="C31" s="1"/>
      <c r="D31" s="1"/>
      <c r="E31" s="1"/>
      <c r="Q31" s="1"/>
      <c r="R31" s="1"/>
      <c r="S31" s="1"/>
      <c r="T31" s="1"/>
    </row>
    <row r="32" spans="1:20" ht="12.75">
      <c r="A32" s="1"/>
      <c r="B32" s="116"/>
      <c r="C32" s="1"/>
      <c r="D32" s="1"/>
      <c r="E32" s="1"/>
      <c r="Q32" s="1"/>
      <c r="R32" s="1"/>
      <c r="S32" s="1"/>
      <c r="T32" s="1"/>
    </row>
    <row r="33" spans="1:20" ht="12.75">
      <c r="A33" s="1"/>
      <c r="B33" s="116"/>
      <c r="C33" s="1"/>
      <c r="D33" s="1"/>
      <c r="E33" s="1"/>
      <c r="Q33" s="1"/>
      <c r="R33" s="1"/>
      <c r="S33" s="1"/>
      <c r="T33" s="1"/>
    </row>
    <row r="34" spans="1:20" ht="12.75">
      <c r="A34" s="1"/>
      <c r="B34" s="116"/>
      <c r="C34" s="1"/>
      <c r="D34" s="1"/>
      <c r="E34" s="1"/>
      <c r="Q34" s="1"/>
      <c r="R34" s="1"/>
      <c r="S34" s="1"/>
      <c r="T34" s="1"/>
    </row>
    <row r="35" spans="1:20" ht="12.75">
      <c r="A35" s="1"/>
      <c r="B35" s="116"/>
      <c r="C35" s="1"/>
      <c r="D35" s="1"/>
      <c r="E35" s="1"/>
      <c r="Q35" s="1"/>
      <c r="R35" s="1"/>
      <c r="S35" s="1"/>
      <c r="T35" s="1"/>
    </row>
    <row r="36" spans="1:20" ht="12.75">
      <c r="A36" s="1"/>
      <c r="B36" s="116"/>
      <c r="C36" s="1"/>
      <c r="D36" s="1"/>
      <c r="E36" s="1"/>
      <c r="Q36" s="1"/>
      <c r="R36" s="1"/>
      <c r="S36" s="1"/>
      <c r="T36" s="1"/>
    </row>
    <row r="37" spans="1:20" ht="12.75">
      <c r="A37" s="1"/>
      <c r="B37" s="116"/>
      <c r="C37" s="1"/>
      <c r="D37" s="1"/>
      <c r="E37" s="1"/>
      <c r="Q37" s="1"/>
      <c r="R37" s="1"/>
      <c r="S37" s="1"/>
      <c r="T37" s="1"/>
    </row>
    <row r="38" spans="1:20" ht="12.75">
      <c r="A38" s="1"/>
      <c r="B38" s="116"/>
      <c r="C38" s="1"/>
      <c r="D38" s="1"/>
      <c r="E38" s="1"/>
      <c r="Q38" s="1"/>
      <c r="R38" s="1"/>
      <c r="S38" s="1"/>
      <c r="T38" s="1"/>
    </row>
    <row r="39" spans="1:20" ht="12.75">
      <c r="A39" s="1"/>
      <c r="B39" s="116"/>
      <c r="C39" s="1"/>
      <c r="D39" s="1"/>
      <c r="E39" s="1"/>
      <c r="Q39" s="1"/>
      <c r="R39" s="1"/>
      <c r="S39" s="1"/>
      <c r="T39" s="1"/>
    </row>
    <row r="40" spans="1:20" ht="12.75">
      <c r="A40" s="1"/>
      <c r="B40" s="116"/>
      <c r="C40" s="1"/>
      <c r="D40" s="1"/>
      <c r="E40" s="1"/>
      <c r="Q40" s="1"/>
      <c r="R40" s="1"/>
      <c r="S40" s="1"/>
      <c r="T40" s="1"/>
    </row>
    <row r="41" spans="1:20" ht="12.75">
      <c r="A41" s="1"/>
      <c r="B41" s="116"/>
      <c r="C41" s="1"/>
      <c r="D41" s="1"/>
      <c r="E41" s="1"/>
      <c r="Q41" s="1"/>
      <c r="R41" s="1"/>
      <c r="S41" s="1"/>
      <c r="T41" s="1"/>
    </row>
    <row r="42" spans="1:20" ht="12.75">
      <c r="A42" s="1"/>
      <c r="B42" s="116"/>
      <c r="C42" s="1"/>
      <c r="D42" s="1"/>
      <c r="E42" s="1"/>
      <c r="Q42" s="1"/>
      <c r="R42" s="1"/>
      <c r="S42" s="1"/>
      <c r="T42" s="1"/>
    </row>
    <row r="43" spans="1:20" ht="12.75">
      <c r="A43" s="1"/>
      <c r="B43" s="116"/>
      <c r="C43" s="1"/>
      <c r="D43" s="1"/>
      <c r="E43" s="1"/>
      <c r="Q43" s="1"/>
      <c r="R43" s="1"/>
      <c r="S43" s="1"/>
      <c r="T43" s="1"/>
    </row>
    <row r="44" spans="1:20" ht="12.75">
      <c r="A44" s="1"/>
      <c r="B44" s="116"/>
      <c r="C44" s="1"/>
      <c r="D44" s="1"/>
      <c r="E44" s="1"/>
      <c r="Q44" s="1"/>
      <c r="R44" s="1"/>
      <c r="S44" s="1"/>
      <c r="T44" s="1"/>
    </row>
    <row r="45" spans="1:20" ht="12.75">
      <c r="A45" s="1"/>
      <c r="B45" s="116"/>
      <c r="C45" s="1"/>
      <c r="D45" s="1"/>
      <c r="E45" s="1"/>
      <c r="Q45" s="1"/>
      <c r="R45" s="1"/>
      <c r="S45" s="1"/>
      <c r="T45" s="1"/>
    </row>
    <row r="46" spans="1:20" ht="12.75">
      <c r="A46" s="1"/>
      <c r="B46" s="116"/>
      <c r="C46" s="1"/>
      <c r="D46" s="1"/>
      <c r="E46" s="1"/>
      <c r="Q46" s="1"/>
      <c r="R46" s="1"/>
      <c r="S46" s="1"/>
      <c r="T46" s="1"/>
    </row>
    <row r="47" spans="1:20" ht="12.75">
      <c r="A47" s="1"/>
      <c r="B47" s="116"/>
      <c r="C47" s="1"/>
      <c r="D47" s="1"/>
      <c r="E47" s="1"/>
      <c r="Q47" s="1"/>
      <c r="R47" s="1"/>
      <c r="S47" s="1"/>
      <c r="T47" s="1"/>
    </row>
    <row r="48" spans="1:20" ht="12.75">
      <c r="A48" s="1"/>
      <c r="B48" s="116"/>
      <c r="C48" s="1"/>
      <c r="D48" s="1"/>
      <c r="E48" s="1"/>
      <c r="Q48" s="1"/>
      <c r="R48" s="1"/>
      <c r="S48" s="1"/>
      <c r="T48" s="1"/>
    </row>
    <row r="49" spans="1:20" ht="12.75">
      <c r="A49" s="1"/>
      <c r="B49" s="116"/>
      <c r="C49" s="1"/>
      <c r="D49" s="1"/>
      <c r="E49" s="1"/>
      <c r="Q49" s="1"/>
      <c r="R49" s="1"/>
      <c r="S49" s="1"/>
      <c r="T49" s="1"/>
    </row>
  </sheetData>
  <sheetProtection password="EDCB" sheet="1" objects="1" scenarios="1" selectLockedCells="1"/>
  <mergeCells count="5">
    <mergeCell ref="B1:C1"/>
    <mergeCell ref="B28:D28"/>
    <mergeCell ref="B24:D24"/>
    <mergeCell ref="B2:E2"/>
    <mergeCell ref="B26:E26"/>
  </mergeCells>
  <conditionalFormatting sqref="A28">
    <cfRule type="cellIs" priority="1" dxfId="12" operator="equal" stopIfTrue="1">
      <formula>"X"</formula>
    </cfRule>
  </conditionalFormatting>
  <conditionalFormatting sqref="C17">
    <cfRule type="cellIs" priority="2" dxfId="16" operator="greaterThan" stopIfTrue="1">
      <formula>35</formula>
    </cfRule>
  </conditionalFormatting>
  <conditionalFormatting sqref="C8">
    <cfRule type="cellIs" priority="3" dxfId="16" operator="greaterThan" stopIfTrue="1">
      <formula>1.18</formula>
    </cfRule>
  </conditionalFormatting>
  <dataValidations count="8">
    <dataValidation type="list" allowBlank="1" showInputMessage="1" showErrorMessage="1" prompt="Select &quot;Yes&quot; if the workers tend to lean against wet surfaces or have to work in areas where extensive contact with freshly wiped surfaces cannot be avoided; otherwise select &quot;No&quot;" error="You can only select &quot;Yesl&quot; or &quot;No&quot;" sqref="C5">
      <formula1>$G$5:$G$6</formula1>
    </dataValidation>
    <dataValidation type="list" allowBlank="1" showInputMessage="1" showErrorMessage="1" prompt="Select &quot;Yes&quot; or &quot;No&quot;" error="You can only select &quot;Yesl&quot; or &quot;No&quot;" sqref="C6">
      <formula1>#REF!</formula1>
    </dataValidation>
    <dataValidation type="whole" allowBlank="1" showInputMessage="1" showErrorMessage="1" prompt="Give the cumulative duration of spraying per shift in minutes; maximum = 540 minutes" error="You can only enter a value between 0 and 540" sqref="C19">
      <formula1>0</formula1>
      <formula2>540</formula2>
    </dataValidation>
    <dataValidation type="decimal" allowBlank="1" showInputMessage="1" showErrorMessage="1" prompt="Give the percentile of the outcome distribution that you want to assess" error="The value most be between 0 and 100" sqref="C12">
      <formula1>0</formula1>
      <formula2>100</formula2>
    </dataValidation>
    <dataValidation type="decimal" allowBlank="1" showInputMessage="1" showErrorMessage="1" prompt="Give the application rate in either L/min or Kg/min" error="You can only enter values between 0 and 100" sqref="C10">
      <formula1>0</formula1>
      <formula2>100</formula2>
    </dataValidation>
    <dataValidation type="decimal" allowBlank="1" showInputMessage="1" showErrorMessage="1" prompt="Give the cumulative duration of spraying per shift in minutes; maximum = 540 minutes&#10;However, consider that the model is based on measurements up to 35 minutes only!" error="You can only enter a value between 0 and 540" sqref="C17">
      <formula1>0</formula1>
      <formula2>540</formula2>
    </dataValidation>
    <dataValidation type="decimal" allowBlank="1" showInputMessage="1" showErrorMessage="1" prompt="Give the application rate in L/min.&#10;Values should be below 10 L/min&#10;The model is based on measurements with application rates up to 1.18 L/min" error="You can only enter values between 0 and 10" sqref="C8">
      <formula1>0</formula1>
      <formula2>10</formula2>
    </dataValidation>
    <dataValidation type="whole" allowBlank="1" showInputMessage="1" showErrorMessage="1" prompt="Give the percentile of the outcome distribution (integer value) that you want to assess" error="The value most be an integer value between 0 and 100" sqref="C11">
      <formula1>0</formula1>
      <formula2>100</formula2>
    </dataValidation>
  </dataValidations>
  <printOptions/>
  <pageMargins left="0.75" right="0.75" top="1" bottom="1" header="0.5" footer="0.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12"/>
  <dimension ref="A1:H24"/>
  <sheetViews>
    <sheetView showRowColHeaders="0" zoomScalePageLayoutView="0" workbookViewId="0" topLeftCell="A1">
      <selection activeCell="A1" sqref="A1"/>
    </sheetView>
  </sheetViews>
  <sheetFormatPr defaultColWidth="9.140625" defaultRowHeight="12.75"/>
  <cols>
    <col min="1" max="1" width="3.8515625" style="0" customWidth="1"/>
    <col min="2" max="2" width="18.7109375" style="0" customWidth="1"/>
    <col min="3" max="3" width="19.28125" style="0" customWidth="1"/>
    <col min="4" max="4" width="30.57421875" style="0" customWidth="1"/>
    <col min="5" max="5" width="20.28125" style="0" customWidth="1"/>
    <col min="6" max="6" width="21.7109375" style="0" customWidth="1"/>
  </cols>
  <sheetData>
    <row r="1" spans="1:5" ht="12.75">
      <c r="A1" s="251"/>
      <c r="B1" s="127" t="s">
        <v>368</v>
      </c>
      <c r="C1" s="276">
        <f>IF(ISBLANK(Name_scenario),"",Name_scenario)</f>
      </c>
      <c r="D1" s="277"/>
      <c r="E1" s="41" t="s">
        <v>371</v>
      </c>
    </row>
    <row r="2" spans="2:4" ht="27.75" customHeight="1">
      <c r="B2" s="344" t="s">
        <v>369</v>
      </c>
      <c r="C2" s="345"/>
      <c r="D2" s="170" t="str">
        <f>Wiping!C5</f>
        <v>Yes</v>
      </c>
    </row>
    <row r="3" spans="2:5" ht="12.75">
      <c r="B3" s="20" t="s">
        <v>370</v>
      </c>
      <c r="C3" s="21"/>
      <c r="D3" s="170">
        <f>Wiping_applicationrate</f>
        <v>1</v>
      </c>
      <c r="E3" s="172">
        <f>Wiping!C9</f>
      </c>
    </row>
    <row r="4" spans="2:5" ht="29.25" customHeight="1">
      <c r="B4" s="346" t="s">
        <v>372</v>
      </c>
      <c r="C4" s="347"/>
      <c r="D4" s="171">
        <f>Wiping_cumulativeduration</f>
        <v>480</v>
      </c>
      <c r="E4" s="172" t="str">
        <f>Wiping!C18</f>
        <v>Model was based on values up to 35 minutes!</v>
      </c>
    </row>
    <row r="5" ht="12.75">
      <c r="B5" s="123"/>
    </row>
    <row r="6" ht="12.75">
      <c r="B6" s="164" t="str">
        <f>Wiping!B28</f>
        <v>Application rate higher than found in the data set for this duration</v>
      </c>
    </row>
    <row r="8" spans="2:7" ht="12.75">
      <c r="B8" s="262" t="s">
        <v>165</v>
      </c>
      <c r="C8" s="21"/>
      <c r="D8" s="266"/>
      <c r="E8" s="21"/>
      <c r="F8" s="21"/>
      <c r="G8" s="21"/>
    </row>
    <row r="9" spans="2:7" ht="12.75">
      <c r="B9" s="266"/>
      <c r="C9" s="21"/>
      <c r="D9" s="266"/>
      <c r="E9" s="21"/>
      <c r="F9" s="21"/>
      <c r="G9" s="21"/>
    </row>
    <row r="11" spans="2:6" ht="14.25">
      <c r="B11" s="124" t="s">
        <v>373</v>
      </c>
      <c r="C11" s="342" t="s">
        <v>331</v>
      </c>
      <c r="D11" s="343"/>
      <c r="E11" s="342" t="s">
        <v>332</v>
      </c>
      <c r="F11" s="343"/>
    </row>
    <row r="12" spans="2:6" ht="12.75">
      <c r="B12" s="131"/>
      <c r="C12" s="296" t="s">
        <v>346</v>
      </c>
      <c r="D12" s="297" t="s">
        <v>374</v>
      </c>
      <c r="E12" s="296" t="s">
        <v>347</v>
      </c>
      <c r="F12" s="142" t="s">
        <v>500</v>
      </c>
    </row>
    <row r="13" spans="2:8" ht="12.75">
      <c r="B13" s="137">
        <v>0.1</v>
      </c>
      <c r="C13" s="139">
        <f aca="true" t="shared" si="0" ref="C13:C23">LOGINV(B13,LN(Wiping_medianhandsraterounded),LN(Wiping_GSDhands))</f>
        <v>163.646361898363</v>
      </c>
      <c r="D13" s="169">
        <f aca="true" t="shared" si="1" ref="D13:D23">C13*Wiping_cumulativeduration</f>
        <v>78550.25371121425</v>
      </c>
      <c r="E13" s="143">
        <f aca="true" t="shared" si="2" ref="E13:E23">LOGINV(B13,LN(Wiping_medianbodyraterounded),LN(Wiping_GSDbody))</f>
        <v>225.9779786397233</v>
      </c>
      <c r="F13" s="132">
        <f aca="true" t="shared" si="3" ref="F13:F23">E13*Wiping_cumulativeduration</f>
        <v>108469.42974706717</v>
      </c>
      <c r="G13" s="167" t="str">
        <f aca="true" t="shared" si="4" ref="G13:G22">IF(D13&gt;820*12,"May be unrealistic",IF(F13&gt;18720*12,"May be unrealistic",""))</f>
        <v>May be unrealistic</v>
      </c>
      <c r="H13" s="21"/>
    </row>
    <row r="14" spans="2:8" ht="12.75">
      <c r="B14" s="137">
        <v>0.2</v>
      </c>
      <c r="C14" s="139">
        <f t="shared" si="0"/>
        <v>283.9607993911589</v>
      </c>
      <c r="D14" s="135">
        <f t="shared" si="1"/>
        <v>136301.18370775628</v>
      </c>
      <c r="E14" s="144">
        <f t="shared" si="2"/>
        <v>489.6900167823188</v>
      </c>
      <c r="F14" s="133">
        <f t="shared" si="3"/>
        <v>235051.20805551304</v>
      </c>
      <c r="G14" s="167" t="str">
        <f t="shared" si="4"/>
        <v>May be unrealistic</v>
      </c>
      <c r="H14" s="21"/>
    </row>
    <row r="15" spans="2:8" ht="12.75">
      <c r="B15" s="137">
        <v>0.3</v>
      </c>
      <c r="C15" s="139">
        <f t="shared" si="0"/>
        <v>422.52075517290325</v>
      </c>
      <c r="D15" s="135">
        <f t="shared" si="1"/>
        <v>202809.96248299355</v>
      </c>
      <c r="E15" s="144">
        <f t="shared" si="2"/>
        <v>855.2565888984414</v>
      </c>
      <c r="F15" s="133">
        <f t="shared" si="3"/>
        <v>410523.16267125186</v>
      </c>
      <c r="G15" s="167" t="str">
        <f t="shared" si="4"/>
        <v>May be unrealistic</v>
      </c>
      <c r="H15" s="21"/>
    </row>
    <row r="16" spans="2:8" ht="12.75">
      <c r="B16" s="137">
        <v>0.4</v>
      </c>
      <c r="C16" s="139">
        <f t="shared" si="0"/>
        <v>593.3617485327077</v>
      </c>
      <c r="D16" s="135">
        <f t="shared" si="1"/>
        <v>284813.63929569966</v>
      </c>
      <c r="E16" s="144">
        <f t="shared" si="2"/>
        <v>1377.292521366971</v>
      </c>
      <c r="F16" s="133">
        <f t="shared" si="3"/>
        <v>661100.4102561461</v>
      </c>
      <c r="G16" s="167" t="str">
        <f t="shared" si="4"/>
        <v>May be unrealistic</v>
      </c>
      <c r="H16" s="21"/>
    </row>
    <row r="17" spans="2:8" ht="12.75">
      <c r="B17" s="137">
        <v>0.5</v>
      </c>
      <c r="C17" s="139">
        <f t="shared" si="0"/>
        <v>815.0000000000001</v>
      </c>
      <c r="D17" s="135">
        <f t="shared" si="1"/>
        <v>391200.00000000006</v>
      </c>
      <c r="E17" s="144">
        <f t="shared" si="2"/>
        <v>2149.9999999999995</v>
      </c>
      <c r="F17" s="133">
        <f t="shared" si="3"/>
        <v>1031999.9999999998</v>
      </c>
      <c r="G17" s="167" t="str">
        <f t="shared" si="4"/>
        <v>May be unrealistic</v>
      </c>
      <c r="H17" s="21"/>
    </row>
    <row r="18" spans="2:8" ht="12.75">
      <c r="B18" s="137">
        <v>0.6</v>
      </c>
      <c r="C18" s="139">
        <f t="shared" si="0"/>
        <v>1119.4267268534354</v>
      </c>
      <c r="D18" s="135">
        <f t="shared" si="1"/>
        <v>537324.828889649</v>
      </c>
      <c r="E18" s="144">
        <f t="shared" si="2"/>
        <v>3356.2223916035964</v>
      </c>
      <c r="F18" s="133">
        <f t="shared" si="3"/>
        <v>1610986.7479697263</v>
      </c>
      <c r="G18" s="167" t="str">
        <f t="shared" si="4"/>
        <v>May be unrealistic</v>
      </c>
      <c r="H18" s="21"/>
    </row>
    <row r="19" spans="2:8" ht="12.75">
      <c r="B19" s="137">
        <v>0.7</v>
      </c>
      <c r="C19" s="139">
        <f t="shared" si="0"/>
        <v>1572.0529509329951</v>
      </c>
      <c r="D19" s="135">
        <f t="shared" si="1"/>
        <v>754585.4164478377</v>
      </c>
      <c r="E19" s="144">
        <f t="shared" si="2"/>
        <v>5404.810743350969</v>
      </c>
      <c r="F19" s="133">
        <f t="shared" si="3"/>
        <v>2594309.156808465</v>
      </c>
      <c r="G19" s="167" t="str">
        <f t="shared" si="4"/>
        <v>May be unrealistic</v>
      </c>
      <c r="H19" s="21"/>
    </row>
    <row r="20" spans="2:8" ht="12.75">
      <c r="B20" s="137">
        <v>0.8</v>
      </c>
      <c r="C20" s="139">
        <f t="shared" si="0"/>
        <v>2339.1432952159835</v>
      </c>
      <c r="D20" s="135">
        <f t="shared" si="1"/>
        <v>1122788.7817036721</v>
      </c>
      <c r="E20" s="144">
        <f t="shared" si="2"/>
        <v>9439.64516649485</v>
      </c>
      <c r="F20" s="133">
        <f t="shared" si="3"/>
        <v>4531029.679917528</v>
      </c>
      <c r="G20" s="167" t="str">
        <f t="shared" si="4"/>
        <v>May be unrealistic</v>
      </c>
      <c r="H20" s="21"/>
    </row>
    <row r="21" spans="2:8" ht="12.75">
      <c r="B21" s="137">
        <v>0.9</v>
      </c>
      <c r="C21" s="139">
        <f t="shared" si="0"/>
        <v>4058.904776707071</v>
      </c>
      <c r="D21" s="135">
        <f t="shared" si="1"/>
        <v>1948274.292819394</v>
      </c>
      <c r="E21" s="144">
        <f t="shared" si="2"/>
        <v>20455.533002928798</v>
      </c>
      <c r="F21" s="133">
        <f t="shared" si="3"/>
        <v>9818655.841405824</v>
      </c>
      <c r="G21" s="167" t="str">
        <f t="shared" si="4"/>
        <v>May be unrealistic</v>
      </c>
      <c r="H21" s="21"/>
    </row>
    <row r="22" spans="2:8" ht="12.75">
      <c r="B22" s="137">
        <v>0.95</v>
      </c>
      <c r="C22" s="139">
        <f t="shared" si="0"/>
        <v>6398.378166062915</v>
      </c>
      <c r="D22" s="135">
        <f t="shared" si="1"/>
        <v>3071221.519710199</v>
      </c>
      <c r="E22" s="144">
        <f t="shared" si="2"/>
        <v>38740.548388420284</v>
      </c>
      <c r="F22" s="133">
        <f t="shared" si="3"/>
        <v>18595463.226441737</v>
      </c>
      <c r="G22" s="167" t="str">
        <f t="shared" si="4"/>
        <v>May be unrealistic</v>
      </c>
      <c r="H22" s="21"/>
    </row>
    <row r="23" spans="2:8" ht="12.75">
      <c r="B23" s="138">
        <v>0.99</v>
      </c>
      <c r="C23" s="140">
        <f t="shared" si="0"/>
        <v>15026.199377530913</v>
      </c>
      <c r="D23" s="136">
        <f t="shared" si="1"/>
        <v>7212575.701214838</v>
      </c>
      <c r="E23" s="145">
        <f t="shared" si="2"/>
        <v>128362.31759431916</v>
      </c>
      <c r="F23" s="134">
        <f t="shared" si="3"/>
        <v>61613912.4452732</v>
      </c>
      <c r="G23" s="167" t="str">
        <f>IF(D23&gt;820*12,"May be unrealistic",IF(F23&gt;18720*12,"May be unrealistic",""))</f>
        <v>May be unrealistic</v>
      </c>
      <c r="H23" s="21"/>
    </row>
    <row r="24" ht="12.75">
      <c r="H24" s="21"/>
    </row>
  </sheetData>
  <sheetProtection password="EDCB" sheet="1" objects="1" scenarios="1" selectLockedCells="1"/>
  <mergeCells count="4">
    <mergeCell ref="C11:D11"/>
    <mergeCell ref="E11:F11"/>
    <mergeCell ref="B2:C2"/>
    <mergeCell ref="B4:C4"/>
  </mergeCells>
  <conditionalFormatting sqref="D13:D23">
    <cfRule type="cellIs" priority="1" dxfId="0" operator="greaterThan" stopIfTrue="1">
      <formula>820*12</formula>
    </cfRule>
  </conditionalFormatting>
  <conditionalFormatting sqref="F13:F23">
    <cfRule type="cellIs" priority="2" dxfId="0" operator="greaterThan" stopIfTrue="1">
      <formula>18720*12</formula>
    </cfRule>
  </conditionalFormatting>
  <printOptions/>
  <pageMargins left="0.75" right="0.75" top="1" bottom="1" header="0.5" footer="0.5"/>
  <pageSetup horizontalDpi="600" verticalDpi="600" orientation="landscape" paperSize="9" r:id="rId2"/>
  <headerFooter alignWithMargins="0">
    <oddHeader>&amp;L&amp;D&amp;C&amp;F&amp;RPage &amp;P</oddHeader>
    <oddFooter>&amp;L&amp;A</oddFooter>
  </headerFooter>
  <rowBreaks count="1" manualBreakCount="1">
    <brk id="23" max="255" man="1"/>
  </rowBreaks>
  <drawing r:id="rId1"/>
</worksheet>
</file>

<file path=xl/worksheets/sheet7.xml><?xml version="1.0" encoding="utf-8"?>
<worksheet xmlns="http://schemas.openxmlformats.org/spreadsheetml/2006/main" xmlns:r="http://schemas.openxmlformats.org/officeDocument/2006/relationships">
  <sheetPr codeName="Sheet13"/>
  <dimension ref="A1:P60"/>
  <sheetViews>
    <sheetView zoomScalePageLayoutView="0" workbookViewId="0" topLeftCell="A8">
      <selection activeCell="D20" sqref="D20"/>
    </sheetView>
  </sheetViews>
  <sheetFormatPr defaultColWidth="9.140625" defaultRowHeight="12.75"/>
  <cols>
    <col min="1" max="1" width="1.1484375" style="0" customWidth="1"/>
    <col min="2" max="2" width="48.7109375" style="94" customWidth="1"/>
    <col min="3" max="3" width="30.7109375" style="0" customWidth="1"/>
    <col min="4" max="4" width="28.421875" style="0" customWidth="1"/>
    <col min="5" max="5" width="29.57421875" style="0" customWidth="1"/>
    <col min="9" max="9" width="11.421875" style="0" customWidth="1"/>
    <col min="11" max="11" width="10.8515625" style="0" customWidth="1"/>
  </cols>
  <sheetData>
    <row r="1" spans="1:5" ht="15.75">
      <c r="A1" s="1"/>
      <c r="B1" s="332" t="s">
        <v>897</v>
      </c>
      <c r="C1" s="333"/>
      <c r="D1" s="333"/>
      <c r="E1" s="348"/>
    </row>
    <row r="2" spans="1:8" ht="12.75">
      <c r="A2" s="1"/>
      <c r="B2" s="338" t="s">
        <v>896</v>
      </c>
      <c r="C2" s="339"/>
      <c r="D2" s="339"/>
      <c r="E2" s="340"/>
      <c r="F2" s="32" t="s">
        <v>522</v>
      </c>
      <c r="G2" s="33"/>
      <c r="H2" s="33"/>
    </row>
    <row r="3" spans="1:8" ht="12.75">
      <c r="A3" s="4"/>
      <c r="B3" s="96" t="s">
        <v>523</v>
      </c>
      <c r="C3" s="3" t="s">
        <v>524</v>
      </c>
      <c r="D3" s="4" t="s">
        <v>858</v>
      </c>
      <c r="E3" s="5" t="s">
        <v>326</v>
      </c>
      <c r="F3" s="34" t="s">
        <v>525</v>
      </c>
      <c r="G3" s="33" t="s">
        <v>302</v>
      </c>
      <c r="H3" s="33" t="s">
        <v>303</v>
      </c>
    </row>
    <row r="4" spans="1:16" ht="13.5" thickBot="1">
      <c r="A4" s="1"/>
      <c r="B4" s="97"/>
      <c r="C4" s="7"/>
      <c r="D4" s="7"/>
      <c r="E4" s="113" t="s">
        <v>505</v>
      </c>
      <c r="F4" s="32"/>
      <c r="G4" s="33"/>
      <c r="H4" s="33"/>
      <c r="J4" s="33"/>
      <c r="K4" s="32"/>
      <c r="L4" s="32"/>
      <c r="M4" s="32"/>
      <c r="N4" s="32">
        <v>1E-06</v>
      </c>
      <c r="O4" s="35"/>
      <c r="P4" s="32"/>
    </row>
    <row r="5" spans="1:16" ht="39" thickBot="1">
      <c r="A5" s="1"/>
      <c r="B5" s="43" t="s">
        <v>579</v>
      </c>
      <c r="C5" s="40" t="s">
        <v>580</v>
      </c>
      <c r="D5" s="43" t="s">
        <v>509</v>
      </c>
      <c r="E5" s="8"/>
      <c r="F5" s="32" t="e">
        <f>IF(C5=DEO2_extensivebodycontacta,Wiping_extensivebodycontact1,IF(C5=DEO2_extensivebodycontactb,Wiping_extensivebodycontact2,))</f>
        <v>#NAME?</v>
      </c>
      <c r="G5" s="33" t="e">
        <f>IF(C5=DEO2_extensivebodycontacta,DEO2_extensivebodycontacta,IF(C5=DEO2_extensivebodycontactb,DEO2_extensivebodycontactb,))</f>
        <v>#NAME?</v>
      </c>
      <c r="H5" s="33" t="s">
        <v>304</v>
      </c>
      <c r="J5" s="33" t="s">
        <v>292</v>
      </c>
      <c r="K5" s="36" t="e">
        <f>Wiping_intercept*Wiping_handseffect*Wiping_applicationrateprobability^Wiping_lnapplicationrate</f>
        <v>#NAME?</v>
      </c>
      <c r="L5" s="32" t="e">
        <f>MATCH(Wiping_medianratehands,Digitfind,1)</f>
        <v>#NAME?</v>
      </c>
      <c r="M5" s="32" t="s">
        <v>318</v>
      </c>
      <c r="N5" s="32">
        <v>1E-05</v>
      </c>
      <c r="O5" s="37" t="e">
        <f>IF(Wiping_digitmedianratehands&lt;=9,ROUND(Wiping_medianratehands,(10-Wiping_digitmedianratehands-1)),IF(Wiping_digitmedianratehands&gt;9,ROUND(Wiping_medianratehands,-(Wiping_digitmedianratehands-9))))</f>
        <v>#NAME?</v>
      </c>
      <c r="P5" s="32" t="s">
        <v>310</v>
      </c>
    </row>
    <row r="6" spans="1:16" ht="13.5" thickBot="1">
      <c r="A6" s="1"/>
      <c r="B6" s="97"/>
      <c r="C6" s="18"/>
      <c r="D6" s="43"/>
      <c r="E6" s="8"/>
      <c r="F6" s="32">
        <f>Wiping_bodyeffect</f>
        <v>0.082</v>
      </c>
      <c r="G6" s="33"/>
      <c r="H6" s="33" t="s">
        <v>715</v>
      </c>
      <c r="J6" s="33" t="s">
        <v>293</v>
      </c>
      <c r="K6" s="36" t="e">
        <f>Wiping_intercept*Wiping_bodyeffect*Wiping_extensivebodycontact*Wiping_applicationrateprobability^Wiping_lnapplicationrate</f>
        <v>#NAME?</v>
      </c>
      <c r="L6" s="32" t="e">
        <f>MATCH(Wiping_medianratebody,Digitfind,1)</f>
        <v>#NAME?</v>
      </c>
      <c r="M6" s="32" t="s">
        <v>319</v>
      </c>
      <c r="N6" s="32">
        <v>0.0001</v>
      </c>
      <c r="O6" s="37" t="e">
        <f>IF(Wiping_digitmedianratebody&lt;=9,ROUND(Wiping_medianratebody,(10-Wiping_digitmedianratebody-1)),IF(Wiping_digitmedianratebody&gt;9,ROUND(Wiping_medianratebody,-(Wiping_digitmedianratebody-9))))</f>
        <v>#NAME?</v>
      </c>
      <c r="P6" s="32" t="s">
        <v>311</v>
      </c>
    </row>
    <row r="7" spans="1:16" ht="26.25" thickBot="1">
      <c r="A7" s="1"/>
      <c r="B7" s="97" t="s">
        <v>510</v>
      </c>
      <c r="C7" s="31">
        <v>0.244</v>
      </c>
      <c r="D7" s="7" t="s">
        <v>575</v>
      </c>
      <c r="E7" s="110" t="s">
        <v>329</v>
      </c>
      <c r="F7" s="32"/>
      <c r="G7" s="33"/>
      <c r="H7" s="33"/>
      <c r="J7" s="33" t="s">
        <v>294</v>
      </c>
      <c r="K7" s="95" t="e">
        <f>LOGINV(Wiping_percentile,LN(Wiping_medianratehands),LN(Wiping_GSDhands))</f>
        <v>#NAME?</v>
      </c>
      <c r="L7" s="32" t="e">
        <f>MATCH(rateperhandDEO2,Digitfind,1)</f>
        <v>#REF!</v>
      </c>
      <c r="M7" s="32" t="s">
        <v>320</v>
      </c>
      <c r="N7" s="32">
        <v>0.001</v>
      </c>
      <c r="O7" s="37" t="e">
        <f>IF(Wiping_digitpercentileratehands&lt;=9,ROUND(Wiping_percentileratehands,(10-Wiping_digitpercentileratehands-1)),IF(Wiping_digitpercentileratehands&gt;9,ROUND(Wiping_percentileratehands,-(Wiping_digitpercentileratehands-9))))</f>
        <v>#REF!</v>
      </c>
      <c r="P7" s="32" t="s">
        <v>312</v>
      </c>
    </row>
    <row r="8" spans="1:16" ht="26.25" thickBot="1">
      <c r="A8" s="1"/>
      <c r="B8" s="116" t="s">
        <v>511</v>
      </c>
      <c r="C8" s="31">
        <v>0.18</v>
      </c>
      <c r="D8" s="1" t="s">
        <v>575</v>
      </c>
      <c r="E8" s="117" t="s">
        <v>506</v>
      </c>
      <c r="F8" s="32" t="e">
        <f>_XLL.RISKNORMAL(C7,C8)</f>
        <v>#NAME?</v>
      </c>
      <c r="G8" s="33"/>
      <c r="H8" s="33" t="s">
        <v>305</v>
      </c>
      <c r="J8" s="33" t="s">
        <v>295</v>
      </c>
      <c r="K8" s="95" t="e">
        <f>LOGINV(Wiping_percentile,LN(Wiping_medianratebody),LN(Wiping_GSDbody))</f>
        <v>#NAME?</v>
      </c>
      <c r="L8" s="32" t="e">
        <f>MATCH(rateperbodyDEO2,Digitfind,1)</f>
        <v>#REF!</v>
      </c>
      <c r="M8" s="32" t="s">
        <v>321</v>
      </c>
      <c r="N8" s="32">
        <v>0.01</v>
      </c>
      <c r="O8" s="37" t="e">
        <f>IF(Wiping_digitpercentileratebody&lt;=9,ROUND(Wiping_percentileratebody,(10-Wiping_digitpercentileratebody-1)),IF(Wiping_digitpercentileratebody&gt;9,ROUND(Wiping_percentileratebody,-(Wiping_digitpercentileratebody-9))))</f>
        <v>#REF!</v>
      </c>
      <c r="P8" s="32" t="s">
        <v>313</v>
      </c>
    </row>
    <row r="9" spans="1:16" ht="14.25" customHeight="1">
      <c r="A9" s="1"/>
      <c r="B9" s="116"/>
      <c r="C9" s="106">
        <f>IF((C7+4.313*C8)&gt;1.18,Wiping_warningapplicationrate,IF(C7&gt;0.36,Wiping_warningapplicationrate,IF(C8&gt;0.22,Wiping_warningapplicationrate,IF(C8/C7&gt;0.75,Wiping_warningapplicationrate,""))))</f>
      </c>
      <c r="D9" s="118"/>
      <c r="E9" s="110" t="s">
        <v>333</v>
      </c>
      <c r="F9" s="32"/>
      <c r="G9" s="33"/>
      <c r="H9" s="33"/>
      <c r="J9" s="33"/>
      <c r="K9" s="95"/>
      <c r="L9" s="32"/>
      <c r="M9" s="32"/>
      <c r="N9" s="32"/>
      <c r="O9" s="37"/>
      <c r="P9" s="32"/>
    </row>
    <row r="10" spans="1:16" ht="12.75">
      <c r="A10" s="1"/>
      <c r="B10" s="97"/>
      <c r="C10" s="1"/>
      <c r="D10" s="7"/>
      <c r="E10" s="112" t="s">
        <v>501</v>
      </c>
      <c r="F10" s="32" t="e">
        <f>LN(F8)</f>
        <v>#NAME?</v>
      </c>
      <c r="G10" s="33"/>
      <c r="H10" s="33" t="s">
        <v>306</v>
      </c>
      <c r="J10" s="33" t="s">
        <v>296</v>
      </c>
      <c r="K10" s="95" t="e">
        <f>Wiping_medianratehands*Wiping_cumulativeduration</f>
        <v>#NAME?</v>
      </c>
      <c r="L10" s="32" t="e">
        <f>MATCH(loadmedhandDEO2,Digitfind,1)</f>
        <v>#REF!</v>
      </c>
      <c r="M10" s="32" t="s">
        <v>322</v>
      </c>
      <c r="N10" s="32">
        <v>0.1</v>
      </c>
      <c r="O10" s="37" t="e">
        <f>IF(Wiping_digitmedianloadinghands&lt;=9,ROUND(Wiping_medianloadinghands,(10-Wiping_digitmedianloadinghands-1)),IF(Wiping_digitmedianloadinghands&gt;9,ROUND(Wiping_medianloadinghands,-(Wiping_digitmedianloadinghands-9))))</f>
        <v>#REF!</v>
      </c>
      <c r="P10" s="32" t="s">
        <v>314</v>
      </c>
    </row>
    <row r="11" spans="1:16" ht="13.5" thickBot="1">
      <c r="A11" s="1"/>
      <c r="B11" s="97"/>
      <c r="C11" s="18"/>
      <c r="D11" s="7"/>
      <c r="E11" s="114" t="s">
        <v>502</v>
      </c>
      <c r="F11" s="32"/>
      <c r="G11" s="33"/>
      <c r="H11" s="33"/>
      <c r="J11" s="33" t="s">
        <v>297</v>
      </c>
      <c r="K11" s="95" t="e">
        <f>Wiping_medianratebody*Wiping_cumulativeduration</f>
        <v>#NAME?</v>
      </c>
      <c r="L11" s="32" t="e">
        <f>MATCH(loadmedbodyDEO2,Digitfind,1)</f>
        <v>#REF!</v>
      </c>
      <c r="M11" s="32" t="s">
        <v>323</v>
      </c>
      <c r="N11" s="32">
        <v>1</v>
      </c>
      <c r="O11" s="37" t="e">
        <f>IF(Wiping_digitmedianloadingbody&lt;=9,ROUND(Wiping_medianloadingbody,(10-Wiping_digitmedianloadingbody-1)),IF(Wiping_digitmedianloadingbody&gt;9,ROUND(Wiping_medianloadingbody,-(Wiping_digitmedianloadingbody-9))))</f>
        <v>#REF!</v>
      </c>
      <c r="P11" s="32" t="s">
        <v>315</v>
      </c>
    </row>
    <row r="12" spans="1:16" ht="26.25" thickBot="1">
      <c r="A12" s="1"/>
      <c r="B12" s="97" t="s">
        <v>526</v>
      </c>
      <c r="C12" s="57">
        <v>0.2</v>
      </c>
      <c r="D12" s="7" t="s">
        <v>527</v>
      </c>
      <c r="E12" s="114" t="s">
        <v>503</v>
      </c>
      <c r="F12" s="32"/>
      <c r="G12" s="33"/>
      <c r="H12" s="33"/>
      <c r="J12" s="33" t="s">
        <v>298</v>
      </c>
      <c r="K12" s="95" t="e">
        <f>Wiping_percentileratehands*Wiping_cumulativeduration</f>
        <v>#NAME?</v>
      </c>
      <c r="L12" s="32" t="e">
        <f>MATCH(loadperhandDEO2,Digitfind,1)</f>
        <v>#REF!</v>
      </c>
      <c r="M12" s="32" t="s">
        <v>324</v>
      </c>
      <c r="N12" s="32">
        <v>10</v>
      </c>
      <c r="O12" s="37" t="e">
        <f>IF(Wiping_digitpercentileloadinghands&lt;=9,ROUND(Wiping_percentileloadinghands,(10-Wiping_digitpercentileloadinghands-1)),IF(Wiping_digitpercentileloadinghands&gt;9,ROUND(Wiping_percentileloadinghands,-(Wiping_digitpercentileloadinghands-9))))</f>
        <v>#REF!</v>
      </c>
      <c r="P12" s="32" t="s">
        <v>316</v>
      </c>
    </row>
    <row r="13" spans="1:16" ht="13.5" thickBot="1">
      <c r="A13" s="1"/>
      <c r="B13" s="97"/>
      <c r="C13" s="9"/>
      <c r="D13" s="7"/>
      <c r="E13" s="115" t="s">
        <v>504</v>
      </c>
      <c r="F13" s="32"/>
      <c r="G13" s="33"/>
      <c r="H13" s="33"/>
      <c r="J13" s="33" t="s">
        <v>299</v>
      </c>
      <c r="K13" s="95" t="e">
        <f>Wiping_percentileratebody*Wiping_cumulativeduration</f>
        <v>#NAME?</v>
      </c>
      <c r="L13" s="32" t="e">
        <f>MATCH(loadperbodyDEO2,Digitfind,1)</f>
        <v>#REF!</v>
      </c>
      <c r="M13" s="32" t="s">
        <v>325</v>
      </c>
      <c r="N13" s="32">
        <v>100</v>
      </c>
      <c r="O13" s="37" t="e">
        <f>IF(Wiping_digitpercentileloadingbody&lt;=9,ROUND(Wiping_percentileloadingbody,(10-Wiping_digitpercentileloadingbody-1)),IF(Wiping_digitpercentileloadingbody&gt;9,ROUND(Wiping_percentileloadingbody,-(Wiping_digitpercentileloadingbody-9))))</f>
        <v>#REF!</v>
      </c>
      <c r="P13" s="32" t="s">
        <v>317</v>
      </c>
    </row>
    <row r="14" spans="1:16" ht="13.5" thickBot="1">
      <c r="A14" s="1"/>
      <c r="B14" s="97"/>
      <c r="C14" s="10" t="s">
        <v>528</v>
      </c>
      <c r="D14" s="11" t="s">
        <v>529</v>
      </c>
      <c r="E14" s="12"/>
      <c r="F14" s="32">
        <f>Wiping_intercept</f>
        <v>815</v>
      </c>
      <c r="G14" s="33"/>
      <c r="H14" s="33" t="s">
        <v>307</v>
      </c>
      <c r="J14" s="33"/>
      <c r="K14" s="32"/>
      <c r="L14" s="32"/>
      <c r="M14" s="32"/>
      <c r="N14" s="32">
        <v>1000</v>
      </c>
      <c r="O14" s="35"/>
      <c r="P14" s="32"/>
    </row>
    <row r="15" spans="1:16" ht="12.75">
      <c r="A15" s="82"/>
      <c r="B15" s="98" t="s">
        <v>581</v>
      </c>
      <c r="C15" s="16" t="e">
        <f>Wiping_medianhandsraterounded</f>
        <v>#NAME?</v>
      </c>
      <c r="D15" s="16" t="e">
        <f>Wiping_percentilehandsraterounded</f>
        <v>#REF!</v>
      </c>
      <c r="E15" s="24" t="s">
        <v>538</v>
      </c>
      <c r="F15" s="32"/>
      <c r="G15" s="33"/>
      <c r="H15" s="33"/>
      <c r="J15" s="33"/>
      <c r="K15" s="32"/>
      <c r="L15" s="32"/>
      <c r="M15" s="32"/>
      <c r="N15" s="32">
        <v>10000</v>
      </c>
      <c r="O15" s="35"/>
      <c r="P15" s="32"/>
    </row>
    <row r="16" spans="1:16" ht="13.5" thickBot="1">
      <c r="A16" s="83"/>
      <c r="B16" s="99" t="s">
        <v>582</v>
      </c>
      <c r="C16" s="17" t="e">
        <f>Wiping_medianbodyraterounded</f>
        <v>#NAME?</v>
      </c>
      <c r="D16" s="17" t="e">
        <f>Wiping_percentilebodyraterounded</f>
        <v>#REF!</v>
      </c>
      <c r="E16" s="26" t="s">
        <v>538</v>
      </c>
      <c r="F16" s="32">
        <f>Wiping_GSDhands</f>
        <v>3.5</v>
      </c>
      <c r="G16" s="33"/>
      <c r="H16" s="33" t="s">
        <v>308</v>
      </c>
      <c r="J16" s="33"/>
      <c r="K16" s="32"/>
      <c r="L16" s="32"/>
      <c r="M16" s="32"/>
      <c r="N16" s="32">
        <v>100000</v>
      </c>
      <c r="O16" s="35"/>
      <c r="P16" s="32"/>
    </row>
    <row r="17" spans="1:16" ht="18.75" customHeight="1" thickBot="1">
      <c r="A17" s="1"/>
      <c r="B17" s="97"/>
      <c r="C17" s="7"/>
      <c r="D17" s="7"/>
      <c r="E17" s="8"/>
      <c r="F17">
        <f>Wiping_GSDbody</f>
        <v>5.8</v>
      </c>
      <c r="H17" t="s">
        <v>309</v>
      </c>
      <c r="J17" s="33"/>
      <c r="K17" s="32"/>
      <c r="L17" s="32"/>
      <c r="M17" s="32"/>
      <c r="N17" s="32">
        <v>1000000</v>
      </c>
      <c r="O17" s="35"/>
      <c r="P17" s="32"/>
    </row>
    <row r="18" spans="1:16" ht="26.25" thickBot="1">
      <c r="A18" s="1"/>
      <c r="B18" s="97" t="s">
        <v>512</v>
      </c>
      <c r="C18" s="105">
        <v>20</v>
      </c>
      <c r="D18" s="7" t="s">
        <v>531</v>
      </c>
      <c r="E18" s="1" t="s">
        <v>334</v>
      </c>
      <c r="F18" t="e">
        <f>_XLL.RISKNORMAL(C18,C19)</f>
        <v>#NAME?</v>
      </c>
      <c r="J18" s="33"/>
      <c r="K18" s="32"/>
      <c r="L18" s="32"/>
      <c r="M18" s="32"/>
      <c r="N18" s="32"/>
      <c r="O18" s="35"/>
      <c r="P18" s="32"/>
    </row>
    <row r="19" spans="1:5" ht="26.25" thickBot="1">
      <c r="A19" s="1"/>
      <c r="B19" s="116" t="s">
        <v>513</v>
      </c>
      <c r="C19" s="105">
        <v>5</v>
      </c>
      <c r="D19" s="7" t="s">
        <v>531</v>
      </c>
      <c r="E19" s="1" t="s">
        <v>335</v>
      </c>
    </row>
    <row r="20" spans="1:5" ht="12.75">
      <c r="A20" s="1"/>
      <c r="B20" s="116"/>
      <c r="C20" s="1"/>
      <c r="D20" s="1"/>
      <c r="E20" s="1" t="s">
        <v>336</v>
      </c>
    </row>
    <row r="21" spans="1:5" ht="12.75">
      <c r="A21" s="1"/>
      <c r="B21" s="116"/>
      <c r="C21" s="1"/>
      <c r="D21" s="1"/>
      <c r="E21" s="1"/>
    </row>
    <row r="22" spans="1:11" ht="13.5" thickBot="1">
      <c r="A22" s="1"/>
      <c r="B22" s="116"/>
      <c r="C22" s="1"/>
      <c r="D22" s="1"/>
      <c r="E22" s="1"/>
      <c r="J22" t="s">
        <v>507</v>
      </c>
      <c r="K22" t="s">
        <v>508</v>
      </c>
    </row>
    <row r="23" spans="1:5" ht="26.25" thickBot="1">
      <c r="A23" s="1"/>
      <c r="B23" s="97" t="s">
        <v>856</v>
      </c>
      <c r="C23" s="105">
        <v>5</v>
      </c>
      <c r="D23" s="7" t="s">
        <v>531</v>
      </c>
      <c r="E23" s="111" t="s">
        <v>328</v>
      </c>
    </row>
    <row r="24" spans="1:11" ht="12.75">
      <c r="A24" s="1"/>
      <c r="B24" s="97"/>
      <c r="C24" s="107">
        <f>IF(Wiping_cumulativeduration&gt;35,"Model was based on values uo to 35 minutes!","")</f>
      </c>
      <c r="D24" s="7"/>
      <c r="E24" s="8"/>
      <c r="K24" t="e">
        <f>_XLL.RISKOUTPUT("wiping_medianhandrate_probability")+Wiping_intercept*Wiping_handseffect*Wiping_applicationrateprobability^Wiping_lnapplicationrate</f>
        <v>#NAME?</v>
      </c>
    </row>
    <row r="25" spans="1:5" ht="13.5" thickBot="1">
      <c r="A25" s="1"/>
      <c r="B25" s="97"/>
      <c r="C25" s="104"/>
      <c r="D25" s="7"/>
      <c r="E25" s="8"/>
    </row>
    <row r="26" spans="1:5" ht="13.5" thickBot="1">
      <c r="A26" s="1"/>
      <c r="B26" s="100"/>
      <c r="C26" s="10" t="s">
        <v>528</v>
      </c>
      <c r="D26" s="11" t="s">
        <v>529</v>
      </c>
      <c r="E26" s="12"/>
    </row>
    <row r="27" spans="1:5" ht="12.75">
      <c r="A27" s="82"/>
      <c r="B27" s="101" t="s">
        <v>566</v>
      </c>
      <c r="C27" s="16" t="e">
        <f>Wiping_medianhandsloadingrounded</f>
        <v>#REF!</v>
      </c>
      <c r="D27" s="16" t="e">
        <f>Wiping_percentilehandsloadingrounded</f>
        <v>#REF!</v>
      </c>
      <c r="E27" s="24" t="s">
        <v>538</v>
      </c>
    </row>
    <row r="28" spans="1:5" ht="13.5" thickBot="1">
      <c r="A28" s="83"/>
      <c r="B28" s="102" t="s">
        <v>532</v>
      </c>
      <c r="C28" s="17" t="e">
        <f>Wiping_medianbodyloadingrounded</f>
        <v>#REF!</v>
      </c>
      <c r="D28" s="17" t="e">
        <f>Wiping_percentilebodyloadingrounded</f>
        <v>#REF!</v>
      </c>
      <c r="E28" s="26" t="s">
        <v>538</v>
      </c>
    </row>
    <row r="29" spans="1:5" ht="12.75">
      <c r="A29" s="1"/>
      <c r="B29" s="97"/>
      <c r="C29" s="7"/>
      <c r="D29" s="7"/>
      <c r="E29" s="8"/>
    </row>
    <row r="30" spans="1:5" ht="12.75">
      <c r="A30" s="1"/>
      <c r="B30" s="97"/>
      <c r="C30" s="7"/>
      <c r="D30" s="7"/>
      <c r="E30" s="8"/>
    </row>
    <row r="31" spans="1:5" ht="12.75">
      <c r="A31" s="1"/>
      <c r="B31" s="103" t="e">
        <f>IF(C27/820&gt;12,"The median exposure loading per shift for hands is higher than what is considered reasonable. Use this result with caution!","")</f>
        <v>#REF!</v>
      </c>
      <c r="C31" s="119"/>
      <c r="D31" s="119"/>
      <c r="E31" s="8"/>
    </row>
    <row r="32" spans="1:5" ht="12.75">
      <c r="A32" s="1"/>
      <c r="B32" s="103" t="e">
        <f>IF(C28/18720&gt;12,"The median exposure loading per shift for body is higher than what is considered reasonable. Use this result with caution!","")</f>
        <v>#REF!</v>
      </c>
      <c r="C32" s="7"/>
      <c r="D32" s="7"/>
      <c r="E32" s="8"/>
    </row>
    <row r="33" spans="1:5" ht="12.75">
      <c r="A33" s="1"/>
      <c r="B33" s="103" t="e">
        <f>IF(D27/820&gt;12,"The 'percentile distribution' exposure loading per shift for hands is higher than what is considered reasonable. Use this result with caution!","")</f>
        <v>#REF!</v>
      </c>
      <c r="C33" s="119"/>
      <c r="D33" s="119"/>
      <c r="E33" s="8"/>
    </row>
    <row r="34" spans="1:5" ht="12.75">
      <c r="A34" s="1"/>
      <c r="B34" s="103" t="e">
        <f>IF(D28/18720&gt;12,"The 'percentile distribution' exposure loading per shift for body is higher than what is considered reasonable. Use this result with caution!","")</f>
        <v>#REF!</v>
      </c>
      <c r="C34" s="7"/>
      <c r="D34" s="7"/>
      <c r="E34" s="8"/>
    </row>
    <row r="35" spans="1:5" ht="12.75">
      <c r="A35" s="109" t="e">
        <f>IF(LN(Wiping_applicationrate)/Wiping_cumulativeduration&gt;0.0233,"X","")</f>
        <v>#REF!</v>
      </c>
      <c r="B35" s="108" t="e">
        <f>IF(LN(Wiping_applicationrate)/Wiping_cumulativeduration&gt;0.0233,"The ratio of application rate versus duration in data used for modelling was generally lower than the ratio in this calculation","")</f>
        <v>#REF!</v>
      </c>
      <c r="C35" s="120"/>
      <c r="D35" s="120"/>
      <c r="E35" s="8"/>
    </row>
    <row r="53" spans="2:3" ht="12.75">
      <c r="B53" s="94" t="s">
        <v>514</v>
      </c>
      <c r="C53">
        <v>5</v>
      </c>
    </row>
    <row r="54" spans="2:3" ht="12.75">
      <c r="B54" s="94" t="s">
        <v>515</v>
      </c>
      <c r="C54">
        <v>10</v>
      </c>
    </row>
    <row r="55" spans="2:3" ht="12.75">
      <c r="B55" s="94" t="s">
        <v>516</v>
      </c>
      <c r="C55">
        <f>(C53+C54)/2</f>
        <v>7.5</v>
      </c>
    </row>
    <row r="56" spans="2:3" ht="12.75">
      <c r="B56" s="94" t="s">
        <v>518</v>
      </c>
      <c r="C56" s="121">
        <v>0.9</v>
      </c>
    </row>
    <row r="57" spans="2:3" ht="12.75">
      <c r="B57" s="94" t="s">
        <v>519</v>
      </c>
      <c r="C57" s="121">
        <v>0.1</v>
      </c>
    </row>
    <row r="58" spans="2:3" ht="12.75">
      <c r="B58" s="94" t="s">
        <v>517</v>
      </c>
      <c r="C58">
        <v>1</v>
      </c>
    </row>
    <row r="59" spans="2:3" ht="12.75">
      <c r="B59" s="94" t="s">
        <v>520</v>
      </c>
      <c r="C59">
        <f>NORMINV(C56,C55,C58)</f>
        <v>8.7815515655446</v>
      </c>
    </row>
    <row r="60" spans="2:3" ht="12.75">
      <c r="B60" s="94" t="s">
        <v>521</v>
      </c>
      <c r="C60">
        <f>NORMINV(C57,C56,C59)</f>
        <v>-10.35401115673432</v>
      </c>
    </row>
  </sheetData>
  <sheetProtection/>
  <mergeCells count="2">
    <mergeCell ref="B1:E1"/>
    <mergeCell ref="B2:E2"/>
  </mergeCells>
  <conditionalFormatting sqref="A35">
    <cfRule type="cellIs" priority="1" dxfId="12" operator="equal" stopIfTrue="1">
      <formula>"X"</formula>
    </cfRule>
  </conditionalFormatting>
  <conditionalFormatting sqref="C23 C18:C19">
    <cfRule type="cellIs" priority="2" dxfId="16" operator="greaterThan" stopIfTrue="1">
      <formula>35</formula>
    </cfRule>
  </conditionalFormatting>
  <conditionalFormatting sqref="C7:C8">
    <cfRule type="cellIs" priority="3" dxfId="16" operator="greaterThan" stopIfTrue="1">
      <formula>1.18</formula>
    </cfRule>
  </conditionalFormatting>
  <dataValidations count="8">
    <dataValidation type="decimal" allowBlank="1" showInputMessage="1" showErrorMessage="1" prompt="Give the standard deviation of the application rate in either L/min or Kg/min.&#10;Values should generally be between 0.002 and 0.2,&#10;with the ratio standard deviation/mean between 0.25 and 0.75&#10;If unknown, fill in the default value of 0,217" error="The input is outside the acceptable range" sqref="C8">
      <formula1>0.25*C7</formula1>
      <formula2>0.75*C7</formula2>
    </dataValidation>
    <dataValidation type="whole" allowBlank="1" showInputMessage="1" showErrorMessage="1" prompt="Give the cumulative duration of spraying per shift in minutes; maximum = 540 minutes" error="You can only enter a value between 0 and 540" sqref="C25">
      <formula1>0</formula1>
      <formula2>540</formula2>
    </dataValidation>
    <dataValidation type="whole" allowBlank="1" showInputMessage="1" showErrorMessage="1" prompt="Give the cumulative duration of spraying per shift in minutes; maximum = 540 minutes&#10;However, consider that the model is based on measurements up to 35 minutes only!" error="You can only enter a value between 0 and 540" sqref="C23 C18:C19">
      <formula1>0</formula1>
      <formula2>540</formula2>
    </dataValidation>
    <dataValidation type="decimal" allowBlank="1" showInputMessage="1" showErrorMessage="1" prompt="Give the percentile of the outcome distribution that you want to assess" error="The value most be between 0 and 100" sqref="C12:C13">
      <formula1>0</formula1>
      <formula2>100</formula2>
    </dataValidation>
    <dataValidation type="decimal" allowBlank="1" showInputMessage="1" showErrorMessage="1" prompt="Give the application rate in either L/min or Kg/min" error="You can only enter values between 0 and 100" sqref="C11">
      <formula1>0</formula1>
      <formula2>100</formula2>
    </dataValidation>
    <dataValidation type="list" allowBlank="1" showInputMessage="1" showErrorMessage="1" prompt="Select &quot;Yes&quot; if the workers tend to lean against wet surfaces or have to work in areas where extensive contact with freshly wiped surfaces cannot be avoided; otherwise select &quot;No&quot;" error="You can only select &quot;Yesl&quot; or &quot;No&quot;" sqref="C5">
      <formula1>$G$5:$G$6</formula1>
    </dataValidation>
    <dataValidation type="list" allowBlank="1" showInputMessage="1" showErrorMessage="1" prompt="Select &quot;Yes&quot; or &quot;No&quot;" error="You can only select &quot;Yesl&quot; or &quot;No&quot;" sqref="C6">
      <formula1>#REF!</formula1>
    </dataValidation>
    <dataValidation type="decimal" allowBlank="1" showInputMessage="1" showErrorMessage="1" prompt="Give the mean of the application rate in either L/min or Kg/min.&#10;Values should be between approximately 0.01 and 0.36&#10;If unknown, fill in the default value of 0,244" error="The input is outside of the acceptable range" sqref="C7">
      <formula1>0.005</formula1>
      <formula2>0.5</formula2>
    </dataValidation>
  </dataValidation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17">
    <pageSetUpPr fitToPage="1"/>
  </sheetPr>
  <dimension ref="A1:R40"/>
  <sheetViews>
    <sheetView showRowColHeaders="0" zoomScalePageLayoutView="0" workbookViewId="0" topLeftCell="A1">
      <selection activeCell="C5" sqref="C5"/>
    </sheetView>
  </sheetViews>
  <sheetFormatPr defaultColWidth="9.140625" defaultRowHeight="12.75"/>
  <cols>
    <col min="1" max="1" width="4.140625" style="1" customWidth="1"/>
    <col min="2" max="2" width="52.00390625" style="0" customWidth="1"/>
    <col min="3" max="3" width="40.140625" style="0" customWidth="1"/>
    <col min="4" max="5" width="29.00390625" style="0" customWidth="1"/>
    <col min="6" max="6" width="9.57421875" style="32" hidden="1" customWidth="1"/>
    <col min="7" max="8" width="9.140625" style="32" hidden="1" customWidth="1"/>
    <col min="9" max="9" width="25.140625" style="32" hidden="1" customWidth="1"/>
    <col min="10" max="10" width="12.57421875" style="32" hidden="1" customWidth="1"/>
    <col min="11" max="11" width="9.140625" style="32" hidden="1" customWidth="1"/>
    <col min="12" max="12" width="17.57421875" style="32" hidden="1" customWidth="1"/>
    <col min="13" max="13" width="9.140625" style="32" hidden="1" customWidth="1"/>
    <col min="14" max="14" width="14.7109375" style="32" hidden="1" customWidth="1"/>
    <col min="15" max="15" width="9.140625" style="32" hidden="1" customWidth="1"/>
  </cols>
  <sheetData>
    <row r="1" spans="2:18" ht="14.25" customHeight="1">
      <c r="B1" s="81" t="s">
        <v>898</v>
      </c>
      <c r="C1" s="22"/>
      <c r="D1" s="274">
        <f>IF(ISBLANK(Name_scenario),"",Name_scenario)</f>
      </c>
      <c r="E1" s="275"/>
      <c r="G1" s="33"/>
      <c r="H1" s="33"/>
      <c r="I1" s="33"/>
      <c r="J1" s="33"/>
      <c r="P1" s="1"/>
      <c r="Q1" s="1"/>
      <c r="R1" s="1"/>
    </row>
    <row r="2" spans="2:18" ht="14.25" customHeight="1">
      <c r="B2" s="46" t="s">
        <v>896</v>
      </c>
      <c r="C2" s="7"/>
      <c r="D2" s="46" t="s">
        <v>899</v>
      </c>
      <c r="E2" s="8"/>
      <c r="F2" s="32" t="s">
        <v>522</v>
      </c>
      <c r="G2" s="33"/>
      <c r="H2" s="33"/>
      <c r="I2" s="33"/>
      <c r="J2" s="33"/>
      <c r="P2" s="1"/>
      <c r="Q2" s="1"/>
      <c r="R2" s="1"/>
    </row>
    <row r="3" spans="1:18" ht="12.75">
      <c r="A3" s="4"/>
      <c r="B3" s="4" t="s">
        <v>523</v>
      </c>
      <c r="C3" s="3" t="s">
        <v>524</v>
      </c>
      <c r="D3" s="3" t="s">
        <v>858</v>
      </c>
      <c r="E3" s="153" t="s">
        <v>326</v>
      </c>
      <c r="F3" s="34" t="s">
        <v>525</v>
      </c>
      <c r="G3" s="33"/>
      <c r="H3" s="33"/>
      <c r="I3" s="33"/>
      <c r="J3" s="33"/>
      <c r="L3" s="38"/>
      <c r="P3" s="1"/>
      <c r="Q3" s="1"/>
      <c r="R3" s="1"/>
    </row>
    <row r="4" spans="2:18" ht="13.5" thickBot="1">
      <c r="B4" s="7"/>
      <c r="C4" s="7"/>
      <c r="D4" s="18"/>
      <c r="E4" s="154" t="s">
        <v>505</v>
      </c>
      <c r="G4" s="33"/>
      <c r="H4" s="33"/>
      <c r="I4" s="33"/>
      <c r="J4" s="33"/>
      <c r="P4" s="1"/>
      <c r="Q4" s="1"/>
      <c r="R4" s="1"/>
    </row>
    <row r="5" spans="2:18" ht="26.25" thickBot="1">
      <c r="B5" s="7" t="s">
        <v>857</v>
      </c>
      <c r="C5" s="31" t="s">
        <v>543</v>
      </c>
      <c r="D5" s="97" t="str">
        <f>IF(C5=Dispersion_orientationa,"The major direction of application is level or overhead",IF(C5=Dispersion_orientationb,"The major direction of application is downward",""))</f>
        <v>The major direction of application is downward</v>
      </c>
      <c r="E5" s="180"/>
      <c r="F5" s="32">
        <f>IF(C5=Dispersion_orientationa,Dispersion_orientation1,IF(C5=Dispersion_orientationb,Dispersion_orientation2,))</f>
        <v>0.059</v>
      </c>
      <c r="G5" s="33" t="str">
        <f>Dispersion_orientationa</f>
        <v>Level or overhead</v>
      </c>
      <c r="H5" s="33"/>
      <c r="I5" s="33"/>
      <c r="J5" s="33"/>
      <c r="P5" s="1"/>
      <c r="Q5" s="1"/>
      <c r="R5" s="1"/>
    </row>
    <row r="6" spans="2:18" ht="13.5" thickBot="1">
      <c r="B6" s="7"/>
      <c r="C6" s="7"/>
      <c r="D6" s="7"/>
      <c r="E6" s="180"/>
      <c r="G6" s="33" t="str">
        <f>Dispersion_orientationb</f>
        <v>Downward</v>
      </c>
      <c r="H6" s="33"/>
      <c r="I6" s="33"/>
      <c r="M6" s="32">
        <v>1E-06</v>
      </c>
      <c r="N6" s="35"/>
      <c r="P6" s="1"/>
      <c r="Q6" s="1"/>
      <c r="R6" s="1"/>
    </row>
    <row r="7" spans="2:18" ht="13.5" thickBot="1">
      <c r="B7" s="7" t="s">
        <v>571</v>
      </c>
      <c r="C7" s="31" t="s">
        <v>572</v>
      </c>
      <c r="D7" s="7"/>
      <c r="E7" s="180"/>
      <c r="F7" s="32">
        <f>IF(C7=Dispersion_viscositya,Dispersion_viscosity1,IF(C7=Dispersion_viscosityb,Dispersion_viscosity2,IF(C7=Dispersion_viscosityc,Dispersion_viscosity3,)))</f>
        <v>4.88</v>
      </c>
      <c r="G7" s="33" t="str">
        <f>Dispersion_viscositya</f>
        <v>Viscosity like water</v>
      </c>
      <c r="H7" s="33"/>
      <c r="I7" s="33" t="s">
        <v>227</v>
      </c>
      <c r="J7" s="36">
        <f>Dispersion_intercept*Dispersion_handeffect*Dispersion_applicationrate^Dispersion_powerhand*Dispersion_viscosity*Dispersion_orientation*Dispersion_tools</f>
        <v>3.6272393053763805</v>
      </c>
      <c r="K7" s="32">
        <f>MATCH(Dispersion_medianratehands,Digitfind,1)</f>
        <v>8</v>
      </c>
      <c r="L7" s="32" t="s">
        <v>239</v>
      </c>
      <c r="M7" s="32">
        <v>1E-05</v>
      </c>
      <c r="N7" s="37">
        <f>IF(Dispersion_digitmedianratehands&lt;=9,ROUND(Dispersion_medianratehands,(11-Dispersion_digitmedianratehands-1)),IF(Dispersion_digitmedianratehands&gt;9,ROUND(Dispersion_medianratehands,-(Dispersion_digitmedianratehands-10))))</f>
        <v>3.63</v>
      </c>
      <c r="O7" s="32" t="s">
        <v>247</v>
      </c>
      <c r="P7" s="1"/>
      <c r="Q7" s="1"/>
      <c r="R7" s="1"/>
    </row>
    <row r="8" spans="2:18" ht="12.75">
      <c r="B8" s="7"/>
      <c r="C8" s="7"/>
      <c r="D8" s="7"/>
      <c r="E8" s="180"/>
      <c r="G8" s="33" t="str">
        <f>Dispersion_viscosityb</f>
        <v>Viscosity like oil</v>
      </c>
      <c r="H8" s="33"/>
      <c r="I8" s="33" t="s">
        <v>232</v>
      </c>
      <c r="J8" s="36">
        <f>Dispersion_intercept*Dispersion_bodyeffect*Dispersion_applicationrate^Dispersion_powerbody*Dispersion_viscosity*Dispersion_orientation</f>
        <v>6.189769783726406</v>
      </c>
      <c r="K8" s="32">
        <f>MATCH(Dispersion_medianratebody,Digitfind,1)</f>
        <v>8</v>
      </c>
      <c r="L8" s="32" t="s">
        <v>240</v>
      </c>
      <c r="M8" s="32">
        <v>0.0001</v>
      </c>
      <c r="N8" s="37">
        <f>IF(Dispersion_digitmedianratebody&lt;=9,ROUND(Dispersion_medianratebody,(11-Dispersion_digitmedianratebody-1)),IF(Dispersion_digitmedianratebody&gt;9,ROUND(Dispersion_medianratebody,-(Dispersion_digitmedianratebody-10))))</f>
        <v>6.19</v>
      </c>
      <c r="O8" s="32" t="s">
        <v>248</v>
      </c>
      <c r="P8" s="1"/>
      <c r="Q8" s="1"/>
      <c r="R8" s="1"/>
    </row>
    <row r="9" spans="2:18" ht="13.5" thickBot="1">
      <c r="B9" s="7"/>
      <c r="C9" s="7"/>
      <c r="D9" s="7"/>
      <c r="E9" s="180"/>
      <c r="G9" s="33" t="str">
        <f>Dispersion_viscosityc</f>
        <v>Viscosity like syrup or honey</v>
      </c>
      <c r="H9" s="33"/>
      <c r="I9" s="33" t="s">
        <v>233</v>
      </c>
      <c r="J9" s="38">
        <f>LOGINV(Dispersion_percentile,LN(Dispersion_medianratehands),LN(Dispersion_GSDhands))</f>
        <v>80.20532601249549</v>
      </c>
      <c r="K9" s="32">
        <f>MATCH(Dispersion_percentileratehands,Digitfind,1)</f>
        <v>9</v>
      </c>
      <c r="L9" s="32" t="s">
        <v>241</v>
      </c>
      <c r="M9" s="32">
        <v>0.001</v>
      </c>
      <c r="N9" s="37">
        <f>IF(Dispersion_digitpercentileratehands&lt;=9,ROUND(Dispersion_percentileratehands,(11-Dispersion_digitpercentileratehands-1)),IF(Dispersion_digitpercentileratehands&gt;9,ROUND(Dispersion_percentileratehands,-(Dispersion_digitpercentileratehands-10))))</f>
        <v>80.2</v>
      </c>
      <c r="O9" s="32" t="s">
        <v>249</v>
      </c>
      <c r="P9" s="1"/>
      <c r="Q9" s="1"/>
      <c r="R9" s="1"/>
    </row>
    <row r="10" spans="2:18" ht="13.5" thickBot="1">
      <c r="B10" s="7" t="s">
        <v>564</v>
      </c>
      <c r="C10" s="31">
        <v>0.1</v>
      </c>
      <c r="D10" s="7" t="s">
        <v>575</v>
      </c>
      <c r="E10" s="146" t="s">
        <v>255</v>
      </c>
      <c r="F10" s="32">
        <f>Dispersion_powerhand</f>
        <v>1.184</v>
      </c>
      <c r="G10" s="33"/>
      <c r="H10" s="33"/>
      <c r="I10" s="33" t="s">
        <v>234</v>
      </c>
      <c r="J10" s="38">
        <f>LOGINV(Dispersion_percentile,LN(Dispersion_medianratebody),LN(Dispersion_GSDbody))</f>
        <v>60.195094268589656</v>
      </c>
      <c r="K10" s="32">
        <f>MATCH(Dispersion_percentileratebody,Digitfind,1)</f>
        <v>9</v>
      </c>
      <c r="L10" s="32" t="s">
        <v>242</v>
      </c>
      <c r="M10" s="32">
        <v>0.01</v>
      </c>
      <c r="N10" s="37">
        <f>IF(Dispersion_digitpercentileratebody&lt;=9,ROUND(Dispersion_percentileratebody,(11-Dispersion_digitpercentileratebody-1)),IF(Dispersion_digitpercentileratebody&gt;9,ROUND(Dispersion_percentileratebody,-(Dispersion_digitpercentileratebody-10))))</f>
        <v>60.2</v>
      </c>
      <c r="O10" s="32" t="s">
        <v>250</v>
      </c>
      <c r="P10" s="1"/>
      <c r="Q10" s="1"/>
      <c r="R10" s="1"/>
    </row>
    <row r="11" spans="2:18" ht="12.75">
      <c r="B11" s="7"/>
      <c r="C11" s="208">
        <f>IF(Dispersion_applicationrate&gt;1.1,"Model was based on values up to 1,1 L/min!","")</f>
      </c>
      <c r="D11" s="7"/>
      <c r="E11" s="180"/>
      <c r="F11" s="32">
        <f>Dispersion_powerbody</f>
        <v>1.535</v>
      </c>
      <c r="G11" s="33"/>
      <c r="H11" s="33"/>
      <c r="I11" s="33" t="s">
        <v>235</v>
      </c>
      <c r="J11" s="38">
        <f>Dispersion_medianratehands*Dispersion_cumulativeduration</f>
        <v>435.2687166451657</v>
      </c>
      <c r="K11" s="32">
        <f>MATCH(Dispersion_medianloadinghands,Digitfind,1)</f>
        <v>10</v>
      </c>
      <c r="L11" s="32" t="s">
        <v>243</v>
      </c>
      <c r="M11" s="32">
        <v>0.1</v>
      </c>
      <c r="N11" s="37"/>
      <c r="P11" s="1"/>
      <c r="Q11" s="1"/>
      <c r="R11" s="1"/>
    </row>
    <row r="12" spans="2:18" ht="13.5" thickBot="1">
      <c r="B12" s="7"/>
      <c r="C12" s="18"/>
      <c r="D12" s="7"/>
      <c r="E12" s="180"/>
      <c r="G12" s="33"/>
      <c r="H12" s="33"/>
      <c r="I12" s="33"/>
      <c r="J12" s="38"/>
      <c r="N12" s="37"/>
      <c r="P12" s="1"/>
      <c r="Q12" s="1"/>
      <c r="R12" s="1"/>
    </row>
    <row r="13" spans="2:18" ht="66.75" customHeight="1" thickBot="1">
      <c r="B13" s="43" t="s">
        <v>573</v>
      </c>
      <c r="C13" s="40" t="s">
        <v>574</v>
      </c>
      <c r="D13" s="47">
        <f>IF(C13=Dispersion_tools_opa,"If  long handles are generally handled close to the contaminated part, you may want to choose the other option",IF(C13=Dispersion_tools_opb,"",""))</f>
      </c>
      <c r="E13" s="180"/>
      <c r="F13" s="32">
        <f>IF(C13=Dispersion_tools_opa,Dispersion_tools_op1,IF(C13=Dispersion_tools_opb,Dispersion_tools_op2))</f>
        <v>3.16</v>
      </c>
      <c r="G13" s="33" t="str">
        <f>Dispersion_tools_opa</f>
        <v>Tools with handles &gt; 30 cm in length</v>
      </c>
      <c r="H13" s="33"/>
      <c r="I13" s="33" t="s">
        <v>236</v>
      </c>
      <c r="J13" s="38">
        <f>Dispersion_medianratebody*Dispersion_cumulativeduration</f>
        <v>742.7723740471687</v>
      </c>
      <c r="K13" s="32">
        <f>MATCH(loadmedbodyDEO3,Digitfind,1)</f>
        <v>10</v>
      </c>
      <c r="L13" s="32" t="s">
        <v>244</v>
      </c>
      <c r="M13" s="32">
        <v>1</v>
      </c>
      <c r="N13" s="37">
        <f>IF(Dispersion_digitmedianloadinghands&lt;=9,ROUND(Dispersion_medianloadinghands,(11-Dispersion_digitmedianloadinghands-1)),IF(Dispersion_digitmedianloadinghands&gt;9,ROUND(Dispersion_medianloadinghands,-(Dispersion_digitmedianloadinghands-10))))</f>
        <v>435</v>
      </c>
      <c r="O13" s="32" t="s">
        <v>251</v>
      </c>
      <c r="P13" s="1"/>
      <c r="Q13" s="1"/>
      <c r="R13" s="1"/>
    </row>
    <row r="14" spans="2:18" ht="13.5" thickBot="1">
      <c r="B14" s="7"/>
      <c r="C14" s="7"/>
      <c r="D14" s="7"/>
      <c r="E14" s="180"/>
      <c r="G14" s="33" t="str">
        <f>Dispersion_tools_opb</f>
        <v>Tools with handles &lt; 30 cm in length</v>
      </c>
      <c r="H14" s="33"/>
      <c r="I14" s="33" t="s">
        <v>237</v>
      </c>
      <c r="J14" s="95">
        <f>Dispersion_percentileratehands*Dispersion_cumulativeduration</f>
        <v>9624.639121499458</v>
      </c>
      <c r="K14" s="32">
        <f>MATCH(loadperhandDEO3,Digitfind,1)</f>
        <v>11</v>
      </c>
      <c r="L14" s="32" t="s">
        <v>245</v>
      </c>
      <c r="M14" s="32">
        <v>10</v>
      </c>
      <c r="N14" s="37">
        <f>IF(Dispersion_digitmedianloadingbody&lt;=9,ROUND(Dispersion_medianloadingbody,(11-Dispersion_digitmedianloadingbody-1)),IF(Dispersion_digitmedianloadingbody&gt;9,ROUND(Dispersion_medianloadingbody,-(Dispersion_digitmedianloadingbody-10))))</f>
        <v>743</v>
      </c>
      <c r="O14" s="32" t="s">
        <v>252</v>
      </c>
      <c r="P14" s="1"/>
      <c r="Q14" s="1"/>
      <c r="R14" s="1"/>
    </row>
    <row r="15" spans="2:18" ht="13.5" thickBot="1">
      <c r="B15" s="7" t="s">
        <v>526</v>
      </c>
      <c r="C15" s="57">
        <v>0.9</v>
      </c>
      <c r="D15" s="7" t="s">
        <v>527</v>
      </c>
      <c r="E15" s="180"/>
      <c r="F15" s="32">
        <f>Dispersion_bodyeffect</f>
        <v>12.1</v>
      </c>
      <c r="G15" s="33" t="s">
        <v>223</v>
      </c>
      <c r="H15" s="33"/>
      <c r="I15" s="33" t="s">
        <v>238</v>
      </c>
      <c r="J15" s="95">
        <f>Dispersion_percentileratebody*Dispersion_cumulativeduration</f>
        <v>7223.411312230759</v>
      </c>
      <c r="K15" s="32">
        <f>MATCH(loadperbodyDEO3,Digitfind,1)</f>
        <v>11</v>
      </c>
      <c r="L15" s="32" t="s">
        <v>246</v>
      </c>
      <c r="M15" s="32">
        <v>100</v>
      </c>
      <c r="N15" s="37">
        <f>IF(Dispersion_digitpercentileloadinghands&lt;=9,ROUND(Dispersion_percentileloadinghands,(11-Dispersion_digitpercentileloadinghands-1)),IF(Dispersion_digitpercentileloadinghands&gt;9,ROUND(Dispersion_percentileloadinghands,-(Dispersion_digitpercentileloadinghands-10))))</f>
        <v>9620</v>
      </c>
      <c r="O15" s="32" t="s">
        <v>253</v>
      </c>
      <c r="P15" s="1"/>
      <c r="Q15" s="1"/>
      <c r="R15" s="1"/>
    </row>
    <row r="16" spans="2:18" ht="13.5" thickBot="1">
      <c r="B16" s="7"/>
      <c r="C16" s="9"/>
      <c r="D16" s="7"/>
      <c r="E16" s="180"/>
      <c r="F16" s="32">
        <f>Dispersion_handeffect</f>
        <v>1</v>
      </c>
      <c r="G16" s="33" t="s">
        <v>224</v>
      </c>
      <c r="H16" s="33"/>
      <c r="I16" s="33"/>
      <c r="M16" s="32">
        <v>1000</v>
      </c>
      <c r="N16" s="37">
        <f>IF(Dispersion_digitpercentileloadingbody&lt;=9,ROUND(Dispersion_percentileloadingbody,(11-Dispersion_digitpercentileloadingbody-1)),IF(Dispersion_digitpercentileloadingbody&gt;9,ROUND(Dispersion_percentileloadingbody,-(Dispersion_digitpercentileloadingbody-10))))</f>
        <v>7220</v>
      </c>
      <c r="O16" s="32" t="s">
        <v>254</v>
      </c>
      <c r="P16" s="1"/>
      <c r="Q16" s="1"/>
      <c r="R16" s="1"/>
    </row>
    <row r="17" spans="2:18" ht="16.5" customHeight="1" thickBot="1">
      <c r="B17" s="7"/>
      <c r="C17" s="10" t="s">
        <v>528</v>
      </c>
      <c r="D17" s="11" t="s">
        <v>529</v>
      </c>
      <c r="E17" s="181"/>
      <c r="G17" s="33"/>
      <c r="H17" s="33"/>
      <c r="I17" s="33"/>
      <c r="M17" s="32">
        <v>10000</v>
      </c>
      <c r="N17" s="35"/>
      <c r="P17" s="1"/>
      <c r="Q17" s="1"/>
      <c r="R17" s="1"/>
    </row>
    <row r="18" spans="1:18" ht="12.75">
      <c r="A18" s="82"/>
      <c r="B18" s="82" t="s">
        <v>576</v>
      </c>
      <c r="C18" s="16">
        <f>Dispersion_medianhandsraterounded</f>
        <v>3.63</v>
      </c>
      <c r="D18" s="16">
        <f>Dispersion_percentilehandsraterounded</f>
        <v>80.2</v>
      </c>
      <c r="E18" s="24" t="s">
        <v>538</v>
      </c>
      <c r="F18" s="32">
        <f>Dispersion_intercept</f>
        <v>60.9</v>
      </c>
      <c r="G18" s="33" t="s">
        <v>593</v>
      </c>
      <c r="H18" s="33"/>
      <c r="I18" s="33"/>
      <c r="M18" s="32">
        <v>100000</v>
      </c>
      <c r="N18" s="35"/>
      <c r="P18" s="1"/>
      <c r="Q18" s="1"/>
      <c r="R18" s="1"/>
    </row>
    <row r="19" spans="1:18" ht="13.5" thickBot="1">
      <c r="A19" s="83"/>
      <c r="B19" s="83" t="s">
        <v>577</v>
      </c>
      <c r="C19" s="17">
        <f>Dispersion_medianbodyraterounded</f>
        <v>6.19</v>
      </c>
      <c r="D19" s="17">
        <f>Dispersion_percentilebodyraterounded</f>
        <v>60.2</v>
      </c>
      <c r="E19" s="26" t="s">
        <v>538</v>
      </c>
      <c r="G19" s="33"/>
      <c r="H19" s="33"/>
      <c r="I19" s="33"/>
      <c r="M19" s="32">
        <v>1000000</v>
      </c>
      <c r="N19" s="35"/>
      <c r="P19" s="1"/>
      <c r="Q19" s="1"/>
      <c r="R19" s="1"/>
    </row>
    <row r="20" spans="1:18" ht="13.5" thickBot="1">
      <c r="A20" s="7"/>
      <c r="B20" s="7"/>
      <c r="C20" s="19"/>
      <c r="D20" s="7"/>
      <c r="E20" s="180"/>
      <c r="F20" s="32">
        <f>Dispersion_GSDhands</f>
        <v>11.2</v>
      </c>
      <c r="G20" s="33" t="s">
        <v>221</v>
      </c>
      <c r="H20" s="33"/>
      <c r="I20" s="33"/>
      <c r="J20" s="33"/>
      <c r="P20" s="1"/>
      <c r="Q20" s="1"/>
      <c r="R20" s="1"/>
    </row>
    <row r="21" spans="1:18" ht="13.5" thickBot="1">
      <c r="A21" s="7"/>
      <c r="B21" s="7" t="s">
        <v>856</v>
      </c>
      <c r="C21" s="56">
        <v>120</v>
      </c>
      <c r="D21" s="7" t="s">
        <v>531</v>
      </c>
      <c r="E21" s="146" t="s">
        <v>256</v>
      </c>
      <c r="F21" s="32">
        <f>Dispersion_GSDbody</f>
        <v>5.9</v>
      </c>
      <c r="G21" s="33" t="s">
        <v>222</v>
      </c>
      <c r="H21" s="33"/>
      <c r="I21" s="33"/>
      <c r="J21" s="33"/>
      <c r="P21" s="1"/>
      <c r="Q21" s="1"/>
      <c r="R21" s="1"/>
    </row>
    <row r="22" spans="1:18" ht="12.75">
      <c r="A22" s="7"/>
      <c r="B22" s="7"/>
      <c r="C22" s="107">
        <f>IF(Dispersion_cumulativeduration&gt;445,"Model was based on values up to 445 minutes!","")</f>
      </c>
      <c r="D22" s="7"/>
      <c r="E22" s="180"/>
      <c r="G22" s="33"/>
      <c r="H22" s="33"/>
      <c r="I22" s="33"/>
      <c r="J22" s="33"/>
      <c r="P22" s="1"/>
      <c r="Q22" s="1"/>
      <c r="R22" s="1"/>
    </row>
    <row r="23" spans="1:18" ht="13.5" thickBot="1">
      <c r="A23" s="7"/>
      <c r="B23" s="7"/>
      <c r="C23" s="18"/>
      <c r="D23" s="7"/>
      <c r="E23" s="180"/>
      <c r="G23" s="33"/>
      <c r="H23" s="33"/>
      <c r="I23" s="33"/>
      <c r="J23" s="33"/>
      <c r="P23" s="1"/>
      <c r="Q23" s="1"/>
      <c r="R23" s="1"/>
    </row>
    <row r="24" spans="1:18" ht="17.25" customHeight="1" thickBot="1">
      <c r="A24" s="91"/>
      <c r="B24" s="91"/>
      <c r="C24" s="10" t="s">
        <v>528</v>
      </c>
      <c r="D24" s="11" t="s">
        <v>529</v>
      </c>
      <c r="E24" s="181"/>
      <c r="F24" s="32">
        <f>Dispersion_powerhand</f>
        <v>1.184</v>
      </c>
      <c r="G24" s="33" t="s">
        <v>225</v>
      </c>
      <c r="H24" s="33"/>
      <c r="I24" s="33"/>
      <c r="J24" s="33"/>
      <c r="P24" s="1"/>
      <c r="Q24" s="1"/>
      <c r="R24" s="1"/>
    </row>
    <row r="25" spans="1:18" ht="12.75">
      <c r="A25" s="85"/>
      <c r="B25" s="85" t="s">
        <v>566</v>
      </c>
      <c r="C25" s="15">
        <f>Dispersion_medianhandsloadingrounded</f>
        <v>435</v>
      </c>
      <c r="D25" s="15">
        <f>Dispersion_percentilehandsloadingrounded</f>
        <v>9620</v>
      </c>
      <c r="E25" s="24" t="s">
        <v>570</v>
      </c>
      <c r="F25" s="32">
        <f>Dispersion_powerbody</f>
        <v>1.535</v>
      </c>
      <c r="G25" s="33" t="s">
        <v>226</v>
      </c>
      <c r="H25" s="33"/>
      <c r="I25" s="33"/>
      <c r="J25" s="33"/>
      <c r="P25" s="1"/>
      <c r="Q25" s="1"/>
      <c r="R25" s="1"/>
    </row>
    <row r="26" spans="1:18" ht="13.5" thickBot="1">
      <c r="A26" s="86"/>
      <c r="B26" s="86" t="s">
        <v>532</v>
      </c>
      <c r="C26" s="13">
        <f>Dispersion_medianbodyloadingrounded</f>
        <v>743</v>
      </c>
      <c r="D26" s="13">
        <f>Dispersion_percentilebodyloadingrounded</f>
        <v>7220</v>
      </c>
      <c r="E26" s="26" t="s">
        <v>570</v>
      </c>
      <c r="G26" s="33"/>
      <c r="H26" s="33"/>
      <c r="I26" s="33"/>
      <c r="J26" s="33"/>
      <c r="P26" s="1"/>
      <c r="Q26" s="1"/>
      <c r="R26" s="1"/>
    </row>
    <row r="27" spans="2:18" ht="12.75">
      <c r="B27" s="206" t="s">
        <v>166</v>
      </c>
      <c r="C27" s="7"/>
      <c r="D27" s="7"/>
      <c r="E27" s="8"/>
      <c r="G27" s="33"/>
      <c r="H27" s="33"/>
      <c r="I27" s="33"/>
      <c r="J27" s="33"/>
      <c r="P27" s="1"/>
      <c r="Q27" s="1"/>
      <c r="R27" s="1"/>
    </row>
    <row r="28" spans="2:18" ht="12.75">
      <c r="B28" s="261"/>
      <c r="C28" s="7"/>
      <c r="D28" s="7"/>
      <c r="E28" s="8"/>
      <c r="G28" s="33"/>
      <c r="H28" s="33"/>
      <c r="I28" s="33"/>
      <c r="J28" s="33"/>
      <c r="P28" s="1"/>
      <c r="Q28" s="1"/>
      <c r="R28" s="1"/>
    </row>
    <row r="29" spans="2:18" ht="12.75">
      <c r="B29" s="87">
        <f>IF(C25/820&gt;12,"The median exposure loading per shift for hands is higher than what is considered reasonable. Use this result with caution!","")</f>
      </c>
      <c r="C29" s="7"/>
      <c r="D29" s="7"/>
      <c r="E29" s="8"/>
      <c r="P29" s="1"/>
      <c r="Q29" s="1"/>
      <c r="R29" s="1"/>
    </row>
    <row r="30" spans="2:18" ht="12.75">
      <c r="B30" s="87">
        <f>IF(C26/18720&gt;12,"The median exposure loading per shift for body is higher than what is considered reasonable. Use this result with caution!","")</f>
      </c>
      <c r="C30" s="7"/>
      <c r="D30" s="7"/>
      <c r="E30" s="8"/>
      <c r="P30" s="1"/>
      <c r="Q30" s="1"/>
      <c r="R30" s="1"/>
    </row>
    <row r="31" spans="2:18" ht="12.75">
      <c r="B31" s="87">
        <f>IF(D25/820&gt;12,"The 'percentile distribution' exposure loading per shift for hands is higher than what is considered reasonable. Use this result with caution!","")</f>
      </c>
      <c r="C31" s="7"/>
      <c r="D31" s="7"/>
      <c r="E31" s="8"/>
      <c r="P31" s="1"/>
      <c r="Q31" s="1"/>
      <c r="R31" s="1"/>
    </row>
    <row r="32" spans="2:18" ht="12.75">
      <c r="B32" s="87">
        <f>IF(D26/18720&gt;12,"The 'percentile distribution' exposure loading per shift for body is higher than what is considered reasonable. Use this result with caution!","")</f>
      </c>
      <c r="C32" s="7"/>
      <c r="D32" s="7"/>
      <c r="E32" s="8"/>
      <c r="P32" s="1"/>
      <c r="Q32" s="1"/>
      <c r="R32" s="1"/>
    </row>
    <row r="33" spans="1:18" ht="12.75">
      <c r="A33" s="109">
        <f>IF(LN(Wiping_applicationrate)/Wiping_cumulativeduration&gt;0.0233,"X","")</f>
      </c>
      <c r="B33" s="334">
        <f>IF(Dispersion_applicationrate&gt;(-0.425*LN(Dispersion_cumulativeduration)+2.56),"Application rate higher than found in the data set for this duration","")</f>
      </c>
      <c r="C33" s="335"/>
      <c r="D33" s="335"/>
      <c r="E33" s="8"/>
      <c r="P33" s="1"/>
      <c r="Q33" s="1"/>
      <c r="R33" s="1"/>
    </row>
    <row r="34" spans="2:18" ht="12.75">
      <c r="B34" s="1"/>
      <c r="C34" s="1"/>
      <c r="D34" s="1"/>
      <c r="E34" s="1"/>
      <c r="P34" s="1"/>
      <c r="Q34" s="1"/>
      <c r="R34" s="1"/>
    </row>
    <row r="35" spans="2:18" ht="12.75">
      <c r="B35" s="1"/>
      <c r="C35" s="1"/>
      <c r="D35" s="1"/>
      <c r="E35" s="1"/>
      <c r="P35" s="1"/>
      <c r="Q35" s="1"/>
      <c r="R35" s="1"/>
    </row>
    <row r="36" spans="2:18" ht="12.75">
      <c r="B36" s="1"/>
      <c r="C36" s="1"/>
      <c r="D36" s="1"/>
      <c r="E36" s="1"/>
      <c r="P36" s="1"/>
      <c r="Q36" s="1"/>
      <c r="R36" s="1"/>
    </row>
    <row r="37" spans="2:18" ht="12.75">
      <c r="B37" s="1"/>
      <c r="C37" s="1"/>
      <c r="D37" s="1"/>
      <c r="E37" s="1"/>
      <c r="P37" s="1"/>
      <c r="Q37" s="1"/>
      <c r="R37" s="1"/>
    </row>
    <row r="38" spans="2:18" ht="12.75">
      <c r="B38" s="1"/>
      <c r="C38" s="1"/>
      <c r="D38" s="1"/>
      <c r="E38" s="1"/>
      <c r="P38" s="1"/>
      <c r="Q38" s="1"/>
      <c r="R38" s="1"/>
    </row>
    <row r="39" spans="2:18" ht="12.75">
      <c r="B39" s="1"/>
      <c r="C39" s="1"/>
      <c r="D39" s="1"/>
      <c r="E39" s="1"/>
      <c r="P39" s="1"/>
      <c r="Q39" s="1"/>
      <c r="R39" s="1"/>
    </row>
    <row r="40" spans="2:18" ht="12.75">
      <c r="B40" s="1"/>
      <c r="C40" s="1"/>
      <c r="D40" s="1"/>
      <c r="E40" s="1"/>
      <c r="F40" s="33"/>
      <c r="G40" s="33"/>
      <c r="H40" s="33"/>
      <c r="I40" s="33"/>
      <c r="J40" s="33"/>
      <c r="K40" s="33"/>
      <c r="L40" s="33"/>
      <c r="M40" s="33"/>
      <c r="N40" s="33"/>
      <c r="O40" s="33"/>
      <c r="P40" s="1"/>
      <c r="Q40" s="1"/>
      <c r="R40" s="1"/>
    </row>
  </sheetData>
  <sheetProtection password="EDCB" sheet="1" objects="1" scenarios="1" selectLockedCells="1"/>
  <mergeCells count="1">
    <mergeCell ref="B33:D33"/>
  </mergeCells>
  <conditionalFormatting sqref="A33">
    <cfRule type="cellIs" priority="1" dxfId="12" operator="equal" stopIfTrue="1">
      <formula>"X"</formula>
    </cfRule>
  </conditionalFormatting>
  <dataValidations count="6">
    <dataValidation type="decimal" allowBlank="1" showInputMessage="1" showErrorMessage="1" prompt="Give the application rate in either L/min or Kg/min" error="You can only enter values between 0 and 100" sqref="C10 C12">
      <formula1>0</formula1>
      <formula2>100</formula2>
    </dataValidation>
    <dataValidation type="decimal" allowBlank="1" showInputMessage="1" showErrorMessage="1" prompt="Give the percentile of the outcome distribution that you want to assess" error="The value most be between 0 and 100" sqref="C15:C16">
      <formula1>0</formula1>
      <formula2>100</formula2>
    </dataValidation>
    <dataValidation type="whole" allowBlank="1" showInputMessage="1" showErrorMessage="1" prompt="Give the cumulative duration of spraying per shift in minutes; maximum = 540 minutes" error="You can only enter a value between 0 and 540" sqref="C21 C23">
      <formula1>0</formula1>
      <formula2>540</formula2>
    </dataValidation>
    <dataValidation type="list" allowBlank="1" showInputMessage="1" showErrorMessage="1" prompt="Select the most appropriate option from the list" error="You can only select an option from the list" sqref="C7">
      <formula1>$G$7:$G$9</formula1>
    </dataValidation>
    <dataValidation type="list" allowBlank="1" showInputMessage="1" showErrorMessage="1" prompt="Select either &quot;Level of overhead&quot; or &quot;Downward&quot;; the model was built on data without overhead application" error="You can only select &quot;Level&quot; or &quot;Downward&quot;" sqref="C5">
      <formula1>$G$5:$G$6</formula1>
    </dataValidation>
    <dataValidation type="list" allowBlank="1" showInputMessage="1" showErrorMessage="1" prompt="Choose a value from the list" error="You can only choose a value from the list" sqref="C13">
      <formula1>$G$13:$G$14</formula1>
    </dataValidation>
  </dataValidations>
  <printOptions/>
  <pageMargins left="0.75" right="0.75" top="1" bottom="1" header="0.5" footer="0.5"/>
  <pageSetup fitToHeight="1" fitToWidth="1" horizontalDpi="600" verticalDpi="600" orientation="landscape" paperSize="9" scale="85" r:id="rId4"/>
  <headerFooter alignWithMargins="0">
    <oddHeader>&amp;CDEO unit 3&amp;R&amp;D</oddHeader>
    <oddFooter>&amp;LRISKOFDERM Potential dermal exposure model; verion 1.0; December 2003</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16"/>
  <dimension ref="A1:H26"/>
  <sheetViews>
    <sheetView zoomScalePageLayoutView="0" workbookViewId="0" topLeftCell="A1">
      <selection activeCell="A1" sqref="A1"/>
    </sheetView>
  </sheetViews>
  <sheetFormatPr defaultColWidth="9.140625" defaultRowHeight="12.75"/>
  <cols>
    <col min="1" max="1" width="3.8515625" style="0" customWidth="1"/>
    <col min="2" max="2" width="18.7109375" style="0" customWidth="1"/>
    <col min="3" max="3" width="19.28125" style="0" customWidth="1"/>
    <col min="4" max="4" width="30.57421875" style="0" customWidth="1"/>
    <col min="5" max="5" width="20.28125" style="0" customWidth="1"/>
    <col min="6" max="6" width="21.7109375" style="0" customWidth="1"/>
  </cols>
  <sheetData>
    <row r="1" spans="1:5" ht="12.75">
      <c r="A1" s="251"/>
      <c r="B1" s="127" t="s">
        <v>368</v>
      </c>
      <c r="C1" s="276">
        <f>IF(ISBLANK(Name_scenario),"",Name_scenario)</f>
      </c>
      <c r="D1" s="277"/>
      <c r="E1" s="41" t="s">
        <v>371</v>
      </c>
    </row>
    <row r="2" spans="2:4" ht="27.75" customHeight="1">
      <c r="B2" s="349" t="s">
        <v>257</v>
      </c>
      <c r="C2" s="350"/>
      <c r="D2" s="298" t="str">
        <f>'Dispersion hand-held tools'!C5</f>
        <v>Downward</v>
      </c>
    </row>
    <row r="3" spans="2:5" ht="12.75">
      <c r="B3" s="299" t="s">
        <v>876</v>
      </c>
      <c r="C3" s="300"/>
      <c r="D3" s="298" t="str">
        <f>'Dispersion hand-held tools'!C7</f>
        <v>Viscosity like syrup or honey</v>
      </c>
      <c r="E3" s="172">
        <f>Wiping!C9</f>
      </c>
    </row>
    <row r="4" spans="2:5" ht="29.25" customHeight="1">
      <c r="B4" s="351" t="s">
        <v>370</v>
      </c>
      <c r="C4" s="352"/>
      <c r="D4" s="298">
        <f>Dispersion_applicationrate</f>
        <v>0.1</v>
      </c>
      <c r="E4" s="172">
        <f>'Dispersion hand-held tools'!C11</f>
      </c>
    </row>
    <row r="5" spans="2:5" ht="17.25" customHeight="1">
      <c r="B5" s="353" t="s">
        <v>573</v>
      </c>
      <c r="C5" s="353"/>
      <c r="D5" s="298" t="str">
        <f>'Dispersion hand-held tools'!C13</f>
        <v>Tools with handles &lt; 30 cm in length</v>
      </c>
      <c r="E5" s="172"/>
    </row>
    <row r="6" spans="2:5" ht="12.75" customHeight="1">
      <c r="B6" s="353" t="s">
        <v>372</v>
      </c>
      <c r="C6" s="353"/>
      <c r="D6" s="298">
        <f>Dispersion_cumulativeduration</f>
        <v>120</v>
      </c>
      <c r="E6" s="172">
        <f>'Dispersion hand-held tools'!C22</f>
      </c>
    </row>
    <row r="7" spans="2:4" ht="12.75">
      <c r="B7" s="301"/>
      <c r="C7" s="302"/>
      <c r="D7" s="302"/>
    </row>
    <row r="8" ht="12.75">
      <c r="B8" s="164">
        <f>'Dispersion hand-held tools'!B33:D33</f>
      </c>
    </row>
    <row r="10" spans="2:7" ht="12.75">
      <c r="B10" s="281" t="s">
        <v>166</v>
      </c>
      <c r="C10" s="21"/>
      <c r="D10" s="266"/>
      <c r="E10" s="21"/>
      <c r="F10" s="21"/>
      <c r="G10" s="21"/>
    </row>
    <row r="11" spans="2:7" ht="12.75">
      <c r="B11" s="266"/>
      <c r="C11" s="21"/>
      <c r="D11" s="266"/>
      <c r="E11" s="21"/>
      <c r="F11" s="21"/>
      <c r="G11" s="21"/>
    </row>
    <row r="13" spans="2:6" ht="14.25">
      <c r="B13" s="124" t="s">
        <v>373</v>
      </c>
      <c r="C13" s="342" t="s">
        <v>331</v>
      </c>
      <c r="D13" s="343"/>
      <c r="E13" s="342" t="s">
        <v>332</v>
      </c>
      <c r="F13" s="343"/>
    </row>
    <row r="14" spans="2:6" ht="12.75">
      <c r="B14" s="131"/>
      <c r="C14" s="296" t="s">
        <v>346</v>
      </c>
      <c r="D14" s="141" t="s">
        <v>374</v>
      </c>
      <c r="E14" s="296" t="s">
        <v>347</v>
      </c>
      <c r="F14" s="142" t="s">
        <v>500</v>
      </c>
    </row>
    <row r="15" spans="2:8" ht="12.75">
      <c r="B15" s="137">
        <v>0.1</v>
      </c>
      <c r="C15" s="282">
        <f aca="true" t="shared" si="0" ref="C15:C25">LOGINV(B15,LN(Dispersion_medianhandsraterounded),LN(Dispersion_GSDhands))</f>
        <v>0.16416464258826077</v>
      </c>
      <c r="D15" s="132">
        <f aca="true" t="shared" si="1" ref="D15:D25">C15*Dispersion_cumulativeduration</f>
        <v>19.699757110591293</v>
      </c>
      <c r="E15" s="143">
        <f aca="true" t="shared" si="2" ref="E15:E25">LOGINV(B15,LN(Dispersion_medianbodyraterounded),LN(Dispersion_GSDbody))</f>
        <v>0.6365082641171211</v>
      </c>
      <c r="F15" s="132">
        <f aca="true" t="shared" si="3" ref="F15:F25">E15*Dispersion_cumulativeduration</f>
        <v>76.38099169405453</v>
      </c>
      <c r="G15" s="167">
        <f aca="true" t="shared" si="4" ref="G15:G25">IF(D15&gt;820*12,"May be unrealistic",IF(F15&gt;18720*12,"May be unrealistic",""))</f>
      </c>
      <c r="H15" s="21"/>
    </row>
    <row r="16" spans="2:8" ht="12.75">
      <c r="B16" s="137">
        <v>0.2</v>
      </c>
      <c r="C16" s="139">
        <f t="shared" si="0"/>
        <v>0.47518471064364426</v>
      </c>
      <c r="D16" s="133">
        <f t="shared" si="1"/>
        <v>57.02216527723731</v>
      </c>
      <c r="E16" s="144">
        <f t="shared" si="2"/>
        <v>1.3897133454625175</v>
      </c>
      <c r="F16" s="133">
        <f t="shared" si="3"/>
        <v>166.7656014555021</v>
      </c>
      <c r="G16" s="167">
        <f t="shared" si="4"/>
      </c>
      <c r="H16" s="21"/>
    </row>
    <row r="17" spans="2:8" ht="12.75">
      <c r="B17" s="137">
        <v>0.3</v>
      </c>
      <c r="C17" s="139">
        <f t="shared" si="0"/>
        <v>1.022577319610892</v>
      </c>
      <c r="D17" s="133">
        <f t="shared" si="1"/>
        <v>122.70927835330704</v>
      </c>
      <c r="E17" s="144">
        <f t="shared" si="2"/>
        <v>2.4403687717444953</v>
      </c>
      <c r="F17" s="133">
        <f t="shared" si="3"/>
        <v>292.84425260933943</v>
      </c>
      <c r="G17" s="167">
        <f t="shared" si="4"/>
      </c>
      <c r="H17" s="21"/>
    </row>
    <row r="18" spans="2:8" ht="12.75">
      <c r="B18" s="137">
        <v>0.4</v>
      </c>
      <c r="C18" s="139">
        <f t="shared" si="0"/>
        <v>1.9682954041853198</v>
      </c>
      <c r="D18" s="133">
        <f t="shared" si="1"/>
        <v>236.19544850223838</v>
      </c>
      <c r="E18" s="144">
        <f t="shared" si="2"/>
        <v>3.948185279319793</v>
      </c>
      <c r="F18" s="133">
        <f t="shared" si="3"/>
        <v>473.78223351837516</v>
      </c>
      <c r="G18" s="167">
        <f t="shared" si="4"/>
      </c>
      <c r="H18" s="21"/>
    </row>
    <row r="19" spans="2:8" ht="12.75">
      <c r="B19" s="137">
        <v>0.5</v>
      </c>
      <c r="C19" s="139">
        <f t="shared" si="0"/>
        <v>3.6299999999999994</v>
      </c>
      <c r="D19" s="133">
        <f t="shared" si="1"/>
        <v>435.5999999999999</v>
      </c>
      <c r="E19" s="144">
        <f t="shared" si="2"/>
        <v>6.19</v>
      </c>
      <c r="F19" s="133">
        <f t="shared" si="3"/>
        <v>742.8000000000001</v>
      </c>
      <c r="G19" s="167">
        <f t="shared" si="4"/>
      </c>
      <c r="H19" s="21"/>
    </row>
    <row r="20" spans="2:8" ht="12.75">
      <c r="B20" s="137">
        <v>0.6</v>
      </c>
      <c r="C20" s="139">
        <f t="shared" si="0"/>
        <v>6.694574387554359</v>
      </c>
      <c r="D20" s="133">
        <f t="shared" si="1"/>
        <v>803.3489265065231</v>
      </c>
      <c r="E20" s="144">
        <f t="shared" si="2"/>
        <v>9.704737060009817</v>
      </c>
      <c r="F20" s="133">
        <f t="shared" si="3"/>
        <v>1164.568447201178</v>
      </c>
      <c r="G20" s="167">
        <f t="shared" si="4"/>
      </c>
      <c r="H20" s="21"/>
    </row>
    <row r="21" spans="2:8" ht="12.75">
      <c r="B21" s="137">
        <v>0.7</v>
      </c>
      <c r="C21" s="139">
        <f t="shared" si="0"/>
        <v>12.885969351456009</v>
      </c>
      <c r="D21" s="133">
        <f t="shared" si="1"/>
        <v>1546.316322174721</v>
      </c>
      <c r="E21" s="144">
        <f t="shared" si="2"/>
        <v>15.70094669446609</v>
      </c>
      <c r="F21" s="133">
        <f t="shared" si="3"/>
        <v>1884.1136033359307</v>
      </c>
      <c r="G21" s="167">
        <f t="shared" si="4"/>
      </c>
      <c r="H21" s="21"/>
    </row>
    <row r="22" spans="2:8" ht="12.75">
      <c r="B22" s="137">
        <v>0.8</v>
      </c>
      <c r="C22" s="139">
        <f t="shared" si="0"/>
        <v>27.730058869427232</v>
      </c>
      <c r="D22" s="133">
        <f t="shared" si="1"/>
        <v>3327.607064331268</v>
      </c>
      <c r="E22" s="144">
        <f t="shared" si="2"/>
        <v>27.571225479775364</v>
      </c>
      <c r="F22" s="133">
        <f t="shared" si="3"/>
        <v>3308.5470575730437</v>
      </c>
      <c r="G22" s="167">
        <f t="shared" si="4"/>
      </c>
      <c r="H22" s="21"/>
    </row>
    <row r="23" spans="2:8" ht="12.75">
      <c r="B23" s="137">
        <v>0.9</v>
      </c>
      <c r="C23" s="139">
        <f t="shared" si="0"/>
        <v>80.26637034777829</v>
      </c>
      <c r="D23" s="133">
        <f t="shared" si="1"/>
        <v>9631.964441733395</v>
      </c>
      <c r="E23" s="144">
        <f t="shared" si="2"/>
        <v>60.19733310634541</v>
      </c>
      <c r="F23" s="133">
        <f t="shared" si="3"/>
        <v>7223.679972761449</v>
      </c>
      <c r="G23" s="167">
        <f t="shared" si="4"/>
      </c>
      <c r="H23" s="21"/>
    </row>
    <row r="24" spans="2:8" ht="12.75">
      <c r="B24" s="137">
        <v>0.95</v>
      </c>
      <c r="C24" s="139">
        <f t="shared" si="0"/>
        <v>193.07084400147028</v>
      </c>
      <c r="D24" s="133">
        <f t="shared" si="1"/>
        <v>23168.50128017643</v>
      </c>
      <c r="E24" s="144">
        <f t="shared" si="2"/>
        <v>114.71742134230222</v>
      </c>
      <c r="F24" s="133">
        <f t="shared" si="3"/>
        <v>13766.090561076266</v>
      </c>
      <c r="G24" s="167" t="str">
        <f t="shared" si="4"/>
        <v>May be unrealistic</v>
      </c>
      <c r="H24" s="21"/>
    </row>
    <row r="25" spans="2:8" ht="12.75">
      <c r="B25" s="138">
        <v>0.99</v>
      </c>
      <c r="C25" s="140">
        <f t="shared" si="0"/>
        <v>1001.7347542595</v>
      </c>
      <c r="D25" s="134">
        <f t="shared" si="1"/>
        <v>120208.17051114001</v>
      </c>
      <c r="E25" s="145">
        <f t="shared" si="2"/>
        <v>384.556881684041</v>
      </c>
      <c r="F25" s="134">
        <f t="shared" si="3"/>
        <v>46146.82580208492</v>
      </c>
      <c r="G25" s="167" t="str">
        <f t="shared" si="4"/>
        <v>May be unrealistic</v>
      </c>
      <c r="H25" s="21"/>
    </row>
    <row r="26" ht="12.75">
      <c r="H26" s="21"/>
    </row>
  </sheetData>
  <sheetProtection password="EDCB" sheet="1" objects="1" scenarios="1" selectLockedCells="1"/>
  <mergeCells count="6">
    <mergeCell ref="C13:D13"/>
    <mergeCell ref="E13:F13"/>
    <mergeCell ref="B2:C2"/>
    <mergeCell ref="B4:C4"/>
    <mergeCell ref="B5:C5"/>
    <mergeCell ref="B6:C6"/>
  </mergeCells>
  <conditionalFormatting sqref="D15:D25">
    <cfRule type="cellIs" priority="1" dxfId="0" operator="greaterThan" stopIfTrue="1">
      <formula>820*12</formula>
    </cfRule>
  </conditionalFormatting>
  <conditionalFormatting sqref="F15:F25">
    <cfRule type="cellIs" priority="2" dxfId="0" operator="greaterThan" stopIfTrue="1">
      <formula>18720*12</formula>
    </cfRule>
  </conditionalFormatting>
  <printOptions/>
  <pageMargins left="0.75" right="0.75" top="1" bottom="1" header="0.5" footer="0.5"/>
  <pageSetup horizontalDpi="600" verticalDpi="600" orientation="landscape" paperSize="9" r:id="rId2"/>
  <headerFooter alignWithMargins="0">
    <oddHeader>&amp;L&amp;D&amp;C&amp;F&amp;RPage &amp;P</oddHeader>
    <oddFooter>&amp;L&amp;A</oddFooter>
  </headerFooter>
  <rowBreaks count="1" manualBreakCount="1">
    <brk id="2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TNO Voeding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NL</dc:creator>
  <cp:keywords/>
  <dc:description/>
  <cp:lastModifiedBy>Hans Marquart</cp:lastModifiedBy>
  <cp:lastPrinted>2006-10-19T07:12:40Z</cp:lastPrinted>
  <dcterms:created xsi:type="dcterms:W3CDTF">2003-10-31T12:44:00Z</dcterms:created>
  <dcterms:modified xsi:type="dcterms:W3CDTF">2015-10-01T12:58:50Z</dcterms:modified>
  <cp:category/>
  <cp:version/>
  <cp:contentType/>
  <cp:contentStatus/>
</cp:coreProperties>
</file>